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feac852124f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0月资金计划" sheetId="1" r:id="Recb5141de7584d84"/>
    <x:sheet xmlns:r="http://schemas.openxmlformats.org/officeDocument/2006/relationships" name="现金假设" sheetId="2" r:id="R953604ad9648459e"/>
    <x:sheet xmlns:r="http://schemas.openxmlformats.org/officeDocument/2006/relationships" name="月度现金" sheetId="3" r:id="R79ce76d32b1f4da0"/>
    <x:sheet xmlns:r="http://schemas.openxmlformats.org/officeDocument/2006/relationships" name="历史长期预测" sheetId="4" r:id="Re29fd057799d4d0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0"/>
    <x:numFmt numFmtId="201" formatCode="yyyy-mm"/>
    <x:numFmt numFmtId="202" formatCode="&quot;$&quot;#,##0;(&quot;$&quot;#,##0);&quot;–&quot;"/>
    <x:numFmt numFmtId="203" formatCode="0.00&quot;x&quot;"/>
    <x:numFmt numFmtId="204" formatCode="0.0%"/>
    <x:numFmt numFmtId="205" formatCode="@"/>
    <x:numFmt numFmtId="206" formatCode="#,##0;(#,##0);&quot;–&quot;"/>
  </x:numFmts>
  <x:fonts count="11">
    <x:font>
      <x:sz val="11"/>
      <x:name val="Carlito"/>
    </x:font>
    <x:font>
      <x:sz val="11"/>
      <x:color rgb="FF20263D"/>
      <x:name val="Arial"/>
    </x:font>
    <x:font>
      <x:b/>
      <x:sz val="16"/>
      <x:color rgb="FF5C2A78"/>
      <x:name val="Arial"/>
    </x:font>
    <x:font>
      <x:sz val="10"/>
      <x:color rgb="FF657084"/>
      <x:name val="Arial"/>
    </x:font>
    <x:font>
      <x:sz val="11"/>
      <x:color rgb="FF1F5CB8"/>
      <x:name val="Arial"/>
    </x:font>
    <x:font>
      <x:b/>
      <x:sz val="11"/>
      <x:color rgb="FF14804A"/>
      <x:name val="Arial"/>
    </x:font>
    <x:font>
      <x:b/>
      <x:sz val="11"/>
      <x:color rgb="FF5C2A78"/>
      <x:name val="Arial"/>
    </x:font>
    <x:font>
      <x:b/>
      <x:sz val="11"/>
      <x:color rgb="FFFFFFFF"/>
      <x:name val="Arial"/>
    </x:font>
    <x:font>
      <x:sz val="11"/>
      <x:color rgb="FF14804A"/>
      <x:name val="Arial"/>
    </x:font>
    <x:font>
      <x:b/>
      <x:sz val="11"/>
      <x:color rgb="FF20263D"/>
      <x:name val="Arial"/>
    </x:font>
    <x:font>
      <x:i/>
      <x:sz val="11"/>
      <x:color rgb="FF20263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1C9"/>
      </x:patternFill>
    </x:fill>
    <x:fill>
      <x:patternFill patternType="solid">
        <x:fgColor rgb="FFF2ECF6"/>
      </x:patternFill>
    </x:fill>
    <x:fill>
      <x:patternFill patternType="solid">
        <x:fgColor rgb="FF5C2A78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5C2A78"/>
      </x:bottom>
      <x:diagonal/>
    </x:border>
    <x:border>
      <x:left style="dotted">
        <x:color rgb="FFB8A7C1"/>
      </x:left>
      <x:right/>
      <x:top style="dotted">
        <x:color rgb="FFB8A7C1"/>
      </x:top>
      <x:bottom style="dotted">
        <x:color rgb="FFB8A7C1"/>
      </x:bottom>
      <x:diagonal/>
    </x:border>
    <x:border>
      <x:left/>
      <x:right/>
      <x:top style="dotted">
        <x:color rgb="FFB8A7C1"/>
      </x:top>
      <x:bottom style="dotted">
        <x:color rgb="FFB8A7C1"/>
      </x:bottom>
      <x:diagonal/>
    </x:border>
    <x:border>
      <x:left/>
      <x:right style="dotted">
        <x:color rgb="FFB8A7C1"/>
      </x:right>
      <x:top style="dotted">
        <x:color rgb="FFB8A7C1"/>
      </x:top>
      <x:bottom style="dotted">
        <x:color rgb="FFB8A7C1"/>
      </x:bottom>
      <x:diagonal/>
    </x:border>
  </x:borders>
  <x:cellStyleXfs count="1">
    <x:xf numFmtId="0" fontId="0" fillId="0" borderId="0"/>
  </x:cellStyleXfs>
  <x:cellXfs count="4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5" fillId="0" borderId="2" xfId="0" applyNumberFormat="1" applyFont="1" applyFill="1" applyBorder="1" applyAlignment="1">
      <x:alignment vertical="center"/>
    </x:xf>
    <x:xf numFmtId="0" fontId="5" fillId="0" borderId="3" xfId="0" applyNumberFormat="1" applyFont="1" applyFill="1" applyBorder="1" applyAlignment="1">
      <x:alignment vertical="center"/>
    </x:xf>
    <x:xf numFmtId="0" fontId="5" fillId="0" borderId="4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0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3" fontId="4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horizontal="center" vertical="center"/>
    </x:xf>
    <x:xf numFmtId="204" fontId="1" fillId="0" borderId="0" xfId="0" applyNumberFormat="1" applyFont="1" applyFill="1" applyBorder="1" applyAlignment="1">
      <x:alignment vertical="center"/>
    </x:xf>
    <x:xf numFmtId="202" fontId="6" fillId="3" borderId="0" xfId="0" applyNumberFormat="1" applyFont="1" applyFill="1" applyBorder="1" applyAlignment="1">
      <x:alignment vertical="center"/>
    </x:xf>
    <x:xf numFmtId="204" fontId="6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205" fontId="8" fillId="0" borderId="0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  <x:xf numFmtId="201" fontId="8" fillId="0" borderId="0" xfId="0" applyNumberFormat="1" applyFont="1" applyFill="1" applyBorder="1" applyAlignment="1">
      <x:alignment vertical="center"/>
    </x:xf>
    <x:xf numFmtId="206" fontId="8" fillId="0" borderId="0" xfId="0" applyNumberFormat="1" applyFont="1" applyFill="1" applyBorder="1" applyAlignment="1">
      <x:alignment vertical="center"/>
    </x:xf>
    <x:xf numFmtId="206" fontId="9" fillId="0" borderId="0" xfId="0" applyNumberFormat="1" applyFont="1" applyFill="1" applyBorder="1" applyAlignment="1">
      <x:alignment vertical="center"/>
    </x:xf>
    <x:xf numFmtId="206" fontId="9" fillId="3" borderId="0" xfId="0" applyNumberFormat="1" applyFont="1" applyFill="1" applyBorder="1" applyAlignment="1">
      <x:alignment vertical="center"/>
    </x:xf>
    <x:xf numFmtId="205" fontId="5" fillId="0" borderId="0" xfId="0" applyNumberFormat="1" applyFont="1" applyFill="1" applyBorder="1" applyAlignment="1">
      <x:alignment vertical="center"/>
    </x:xf>
    <x:xf numFmtId="205" fontId="5" fillId="0" borderId="2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 applyAlignment="1">
      <x:alignment vertical="center"/>
    </x:xf>
    <x:xf numFmtId="204" fontId="10" fillId="0" borderId="0" xfId="0" applyNumberFormat="1" applyFont="1" applyFill="1" applyBorder="1" applyAlignment="1">
      <x:alignment vertical="center"/>
    </x:xf>
    <x:xf numFmtId="204" fontId="1" fillId="3" borderId="0" xfId="0" applyNumberFormat="1" applyFont="1" applyFill="1" applyBorder="1" applyAlignment="1">
      <x:alignment vertical="center"/>
    </x:xf>
    <x:xf numFmtId="206" fontId="1" fillId="3" borderId="0" xfId="0" applyNumberFormat="1" applyFont="1" applyFill="1" applyBorder="1" applyAlignment="1">
      <x:alignment vertical="center"/>
    </x:xf>
    <x:xf numFmtId="206" fontId="6" fillId="3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b/>
        <x:color rgb="FFB42318"/>
      </x:font>
      <x:fill>
        <x:patternFill patternType="solid">
          <x:bgColor rgb="FFFCE4E4"/>
        </x:patternFill>
      </x:fill>
    </x:dxf>
    <x:dxf>
      <x:font>
        <x:b/>
        <x:color rgb="FFB42318"/>
      </x:font>
      <x:fill>
        <x:patternFill patternType="solid">
          <x:bgColor rgb="FFFCE4E4"/>
        </x:patternFill>
      </x:fill>
    </x:dxf>
    <x:dxf>
      <x:font>
        <x:b/>
        <x:color rgb="FFB42318"/>
      </x:font>
      <x:fill>
        <x:patternFill patternType="solid">
          <x:bgColor rgb="FFFCE4E4"/>
        </x:patternFill>
      </x:fill>
    </x:dxf>
    <x:dxf>
      <x:font>
        <x:b/>
        <x:color rgb="FFB42318"/>
      </x:font>
      <x:fill>
        <x:patternFill patternType="solid">
          <x:bgColor rgb="FFFCE4E4"/>
        </x:patternFill>
      </x:fill>
    </x:dxf>
    <x:dxf>
      <x:font>
        <x:color rgb="FF965F12"/>
      </x:font>
      <x:fill>
        <x:patternFill patternType="solid">
          <x:bgColor rgb="FFFFF1C9"/>
        </x:patternFill>
      </x:fill>
    </x:dxf>
    <x:dxf>
      <x:font>
        <x:b/>
        <x:color rgb="FFB42318"/>
      </x:font>
      <x:fill>
        <x:patternFill patternType="solid">
          <x:bgColor rgb="FFFC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28ba26072143b5" /><Relationship Type="http://schemas.openxmlformats.org/officeDocument/2006/relationships/theme" Target="/xl/theme/theme1.xml" Id="Rc1239c42f9274ca2" /><Relationship Type="http://schemas.openxmlformats.org/officeDocument/2006/relationships/sharedStrings" Target="/xl/sharedStrings.xml" Id="Re29080cd63fe4e2c" /><Relationship Type="http://schemas.openxmlformats.org/officeDocument/2006/relationships/worksheet" Target="/xl/worksheets/sheet1.xml" Id="Recb5141de7584d84" /><Relationship Type="http://schemas.openxmlformats.org/officeDocument/2006/relationships/worksheet" Target="/xl/worksheets/sheet2.xml" Id="R953604ad9648459e" /><Relationship Type="http://schemas.openxmlformats.org/officeDocument/2006/relationships/worksheet" Target="/xl/worksheets/sheet3.xml" Id="R79ce76d32b1f4da0" /><Relationship Type="http://schemas.openxmlformats.org/officeDocument/2006/relationships/worksheet" Target="/xl/worksheets/sheet4.xml" Id="Re29fd057799d4d0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e1e6b7f310c46d1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期末现金与储备下限（USD）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期末现金</c:v>
          </c:tx>
          <c:spPr>
            <a:ln xmlns:a="http://schemas.openxmlformats.org/drawingml/2006/main" w="19050">
              <a:solidFill>
                <a:srgbClr val="5C2A78"/>
              </a:solidFill>
              <a:prstDash val="solid"/>
            </a:ln>
          </c:spPr>
          <c:marker>
            <c:symbol val="none"/>
          </c:marker>
          <c:cat>
            <c:strRef>
              <c:f>'月度现金'!$O$8:$O$31</c:f>
              <c:strCache>
                <c:ptCount val="0"/>
              </c:strCache>
            </c:strRef>
          </c:cat>
          <c:val>
            <c:numRef>
              <c:f>'月度现金'!$K$8:$K$31</c:f>
              <c:numCache>
                <c:formatCode>#,##0;(#,##0);"–"</c:formatCode>
                <c:ptCount val="0"/>
              </c:numCache>
            </c:numRef>
          </c:val>
          <c:smooth val="0"/>
        </c:ser>
        <c:ser>
          <c:idx val="1"/>
          <c:order val="1"/>
          <c:tx>
            <c:v>储备下限</c:v>
          </c:tx>
          <c:spPr>
            <a:ln xmlns:a="http://schemas.openxmlformats.org/drawingml/2006/main" w="19050">
              <a:solidFill>
                <a:srgbClr val="A8803C"/>
              </a:solidFill>
              <a:prstDash val="dash"/>
            </a:ln>
          </c:spPr>
          <c:marker>
            <c:symbol val="none"/>
          </c:marker>
          <c:cat>
            <c:strRef>
              <c:f>'月度现金'!$O$8:$O$31</c:f>
              <c:strCache>
                <c:ptCount val="0"/>
              </c:strCache>
            </c:strRef>
          </c:cat>
          <c:val>
            <c:numRef>
              <c:f>'月度现金'!$L$8:$L$31</c:f>
              <c:numCache>
                <c:formatCode>#,##0;(#,##0);"–"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ickLblSkip val="4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0.0,,&quot;M&quot;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750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5</xdr:row>
      <xdr:rowOff>0</xdr:rowOff>
    </xdr:from>
    <xdr:to>
      <xdr:col>15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e1e6b7f310c46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b8b71c485744481" /></Relationships>
</file>

<file path=xl/worksheets/sheet1.xml><?xml version="1.0" encoding="utf-8"?>
<x:worksheet xmlns:x="http://schemas.openxmlformats.org/spreadsheetml/2006/main">
  <x:sheetPr>
    <x:tabColor rgb="FF5C2A78"/>
  </x:sheetPr>
  <x:sheetViews>
    <x:sheetView showGridLines="0" workbookViewId="0"/>
  </x:sheetViews>
  <x:sheetFormatPr defaultRowHeight="15"/>
  <x:cols>
    <x:col min="1" max="1" width="2" hidden="0" customWidth="1"/>
    <x:col min="2" max="2" width="2" hidden="0" customWidth="1"/>
    <x:col min="3" max="3" width="34" hidden="0" customWidth="1"/>
    <x:col min="4" max="4" width="3" hidden="0" customWidth="1"/>
    <x:col min="5" max="5" width="20" hidden="0" customWidth="1"/>
    <x:col min="6" max="6" width="16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24" customHeight="1">
      <x:c r="A2" s="2"/>
      <x:c r="B2" s="2"/>
      <x:c r="C2" s="3" t="str">
        <x:v>Bauhinia AI 2026年10月资金计划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4" customHeight="1">
      <x:c r="A3" s="2"/>
      <x:c r="B3" s="2"/>
      <x:c r="C3" s="6" t="str">
        <x:v>截至2026-10-16；金额为美元；融资后金额与24个月支出均为条件测算。</x:v>
      </x:c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2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24" customHeight="1">
      <x:c r="A5" s="2"/>
      <x:c r="B5" s="2"/>
      <x:c r="C5" s="2" t="str">
        <x:v>当前情景</x:v>
      </x:c>
      <x:c r="D5" s="2"/>
      <x:c r="E5" s="39" t="str">
        <x:f>'现金假设'!E6</x:f>
        <x:v>目标融资计入首期</x:v>
      </x:c>
      <x:c r="F5" s="12"/>
      <x:c r="G5" s="13"/>
      <x:c r="H5" s="2"/>
      <x:c r="I5" s="2"/>
      <x:c r="J5" s="2"/>
      <x:c r="K5" s="2"/>
      <x:c r="L5" s="2"/>
      <x:c r="M5" s="2"/>
      <x:c r="N5" s="2"/>
      <x:c r="O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 ht="24" customHeight="1">
      <x:c r="A7" s="2"/>
      <x:c r="B7" s="2"/>
      <x:c r="C7" s="2" t="str">
        <x:v>当前资金（近似）</x:v>
      </x:c>
      <x:c r="D7" s="2"/>
      <x:c r="E7" s="16" t="n">
        <x:f>'现金假设'!E8</x:f>
        <x:v>4000000</x:v>
      </x:c>
      <x:c r="F7" s="2"/>
      <x:c r="G7" s="2"/>
      <x:c r="H7" s="2"/>
      <x:c r="I7" s="2"/>
      <x:c r="J7" s="2"/>
      <x:c r="K7" s="2"/>
      <x:c r="L7" s="2"/>
      <x:c r="M7" s="2"/>
      <x:c r="N7" s="2"/>
      <x:c r="O7" s="2"/>
    </x:row>
    <x:row r="8" ht="24" customHeight="1">
      <x:c r="A8" s="2"/>
      <x:c r="B8" s="2"/>
      <x:c r="C8" s="2" t="str">
        <x:v>目标融资</x:v>
      </x:c>
      <x:c r="D8" s="2"/>
      <x:c r="E8" s="16" t="n">
        <x:f>'现金假设'!E10</x:f>
        <x:v>5000000</x:v>
      </x:c>
      <x:c r="F8" s="2"/>
      <x:c r="G8" s="2"/>
      <x:c r="H8" s="2"/>
      <x:c r="I8" s="2"/>
      <x:c r="J8" s="2"/>
      <x:c r="K8" s="2"/>
      <x:c r="L8" s="2"/>
      <x:c r="M8" s="2"/>
      <x:c r="N8" s="2"/>
      <x:c r="O8" s="2"/>
    </x:row>
    <x:row r="9" ht="28" customHeight="1">
      <x:c r="A9" s="2"/>
      <x:c r="B9" s="2"/>
      <x:c r="C9" s="20" t="str">
        <x:v>融资后总储备（近似）</x:v>
      </x:c>
      <x:c r="D9" s="20"/>
      <x:c r="E9" s="27" t="n">
        <x:f>SUM(E7:E8)</x:f>
        <x:v>9000000</x:v>
      </x:c>
      <x:c r="F9" s="20"/>
      <x:c r="G9" s="2"/>
      <x:c r="H9" s="2"/>
      <x:c r="I9" s="2"/>
      <x:c r="J9" s="2"/>
      <x:c r="K9" s="2"/>
      <x:c r="L9" s="2"/>
      <x:c r="M9" s="2"/>
      <x:c r="N9" s="2"/>
      <x:c r="O9" s="2"/>
    </x:row>
    <x:row r="10" ht="24" customHeight="1">
      <x:c r="A10" s="2"/>
      <x:c r="B10" s="2"/>
      <x:c r="C10" s="2" t="str">
        <x:v>投后估值</x:v>
      </x:c>
      <x:c r="D10" s="2"/>
      <x:c r="E10" s="16" t="n">
        <x:f>'现金假设'!E11</x:f>
        <x:v>66500000</x:v>
      </x:c>
      <x:c r="F10" s="2"/>
      <x:c r="G10" s="2"/>
      <x:c r="H10" s="2"/>
      <x:c r="I10" s="2"/>
      <x:c r="J10" s="2"/>
      <x:c r="K10" s="2"/>
      <x:c r="L10" s="2"/>
      <x:c r="M10" s="2"/>
      <x:c r="N10" s="2"/>
      <x:c r="O10" s="2"/>
    </x:row>
    <x:row r="11" ht="24" customHeight="1">
      <x:c r="A11" s="2"/>
      <x:c r="B11" s="2"/>
      <x:c r="C11" s="40" t="str">
        <x:v>融资额 / 投后估值</x:v>
      </x:c>
      <x:c r="D11" s="40"/>
      <x:c r="E11" s="41" t="n">
        <x:f>E8/E10</x:f>
        <x:v>0.07518796992481203</x:v>
      </x:c>
      <x:c r="F11" s="2"/>
      <x:c r="G11" s="2"/>
      <x:c r="H11" s="2"/>
      <x:c r="I11" s="2"/>
      <x:c r="J11" s="2"/>
      <x:c r="K11" s="2"/>
      <x:c r="L11" s="2"/>
      <x:c r="M11" s="2"/>
      <x:c r="N11" s="2"/>
      <x:c r="O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</x:row>
    <x:row r="13" ht="28" customHeight="1">
      <x:c r="A13" s="2"/>
      <x:c r="B13" s="2"/>
      <x:c r="C13" s="20" t="str">
        <x:v>24个月预算测算结果</x:v>
      </x:c>
      <x:c r="D13" s="20"/>
      <x:c r="E13" s="20"/>
      <x:c r="F13" s="20"/>
      <x:c r="G13" s="2"/>
      <x:c r="H13" s="2"/>
      <x:c r="I13" s="2"/>
      <x:c r="J13" s="2"/>
      <x:c r="K13" s="2"/>
      <x:c r="L13" s="2"/>
      <x:c r="M13" s="2"/>
      <x:c r="N13" s="2"/>
      <x:c r="O13" s="2"/>
    </x:row>
    <x:row r="14" ht="24" customHeight="1">
      <x:c r="A14" s="2"/>
      <x:c r="B14" s="2"/>
      <x:c r="C14" s="2" t="str">
        <x:v>测算期末现金</x:v>
      </x:c>
      <x:c r="D14" s="2"/>
      <x:c r="E14" s="16" t="n">
        <x:f>'月度现金'!K31</x:f>
        <x:v>1000000.0000000017</x:v>
      </x:c>
      <x:c r="F14" s="2"/>
      <x:c r="G14" s="2"/>
      <x:c r="H14" s="2"/>
      <x:c r="I14" s="2"/>
      <x:c r="J14" s="2"/>
      <x:c r="K14" s="2"/>
      <x:c r="L14" s="2"/>
      <x:c r="M14" s="2"/>
      <x:c r="N14" s="2"/>
      <x:c r="O14" s="2"/>
    </x:row>
    <x:row r="15" ht="24" customHeight="1">
      <x:c r="A15" s="2"/>
      <x:c r="B15" s="2"/>
      <x:c r="C15" s="2" t="str">
        <x:v>测算最低期末现金</x:v>
      </x:c>
      <x:c r="D15" s="2"/>
      <x:c r="E15" s="16" t="n">
        <x:f>MIN('月度现金'!K8:K31)</x:f>
        <x:v>1000000.0000000017</x:v>
      </x:c>
      <x:c r="F15" s="2"/>
      <x:c r="G15" s="2"/>
      <x:c r="H15" s="2"/>
      <x:c r="I15" s="2"/>
      <x:c r="J15" s="2"/>
      <x:c r="K15" s="2"/>
      <x:c r="L15" s="2"/>
      <x:c r="M15" s="2"/>
      <x:c r="N15" s="2"/>
      <x:c r="O15" s="2"/>
    </x:row>
    <x:row r="16" ht="24" customHeight="1">
      <x:c r="A16" s="2"/>
      <x:c r="B16" s="2"/>
      <x:c r="C16" s="2" t="str">
        <x:v>测算最大资金缺口</x:v>
      </x:c>
      <x:c r="D16" s="2"/>
      <x:c r="E16" s="16" t="n">
        <x:f>MAX('月度现金'!N8:N31)</x:f>
        <x:v>0</x:v>
      </x:c>
      <x:c r="F16" s="2"/>
      <x:c r="G16" s="2"/>
      <x:c r="H16" s="2"/>
      <x:c r="I16" s="2"/>
      <x:c r="J16" s="2"/>
      <x:c r="K16" s="2"/>
      <x:c r="L16" s="2"/>
      <x:c r="M16" s="2"/>
      <x:c r="N16" s="2"/>
      <x:c r="O16" s="2"/>
    </x:row>
    <x:row r="17" ht="24" customHeight="1">
      <x:c r="A17" s="2"/>
      <x:c r="B17" s="2"/>
      <x:c r="C17" s="2" t="str">
        <x:v>期末高于储备的金额</x:v>
      </x:c>
      <x:c r="D17" s="2"/>
      <x:c r="E17" s="16" t="n">
        <x:f>'月度现金'!M31</x:f>
        <x:v>1.7462298274040222e-9</x:v>
      </x:c>
      <x:c r="F17" s="2"/>
      <x:c r="G17" s="2"/>
      <x:c r="H17" s="2"/>
      <x:c r="I17" s="2"/>
      <x:c r="J17" s="2"/>
      <x:c r="K17" s="2"/>
      <x:c r="L17" s="2"/>
      <x:c r="M17" s="2"/>
      <x:c r="N17" s="2"/>
      <x:c r="O17" s="2"/>
    </x:row>
    <x:row r="18" ht="24" customHeight="1">
      <x:c r="A18" s="2"/>
      <x:c r="B18" s="2"/>
      <x:c r="C18" s="2" t="str">
        <x:v>计入现金来源的政府资助</x:v>
      </x:c>
      <x:c r="D18" s="2"/>
      <x:c r="E18" s="16" t="n">
        <x:f>'现金假设'!E15</x:f>
        <x:v>0</x:v>
      </x:c>
      <x:c r="F18" s="2"/>
      <x:c r="G18" s="2"/>
      <x:c r="H18" s="2"/>
      <x:c r="I18" s="2"/>
      <x:c r="J18" s="2"/>
      <x:c r="K18" s="2"/>
      <x:c r="L18" s="2"/>
      <x:c r="M18" s="2"/>
      <x:c r="N18" s="2"/>
      <x:c r="O18" s="2"/>
    </x:row>
    <x:row r="19" ht="24" customHeight="1">
      <x:c r="A19" s="2"/>
      <x:c r="B19" s="2"/>
      <x:c r="C19" s="2" t="str">
        <x:v>测算期内安排的现金支出</x:v>
      </x:c>
      <x:c r="D19" s="2"/>
      <x:c r="E19" s="16" t="n">
        <x:f>SUM('月度现金'!J8:J31)</x:f>
        <x:v>7999999.999999998</x:v>
      </x:c>
      <x:c r="F19" s="2"/>
      <x:c r="G19" s="2"/>
      <x:c r="H19" s="2"/>
      <x:c r="I19" s="2"/>
      <x:c r="J19" s="2"/>
      <x:c r="K19" s="2"/>
      <x:c r="L19" s="2"/>
      <x:c r="M19" s="2"/>
      <x:c r="N19" s="2"/>
      <x:c r="O19" s="2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</x:row>
    <x:row r="22" ht="24" customHeight="1">
      <x:c r="A22" s="2"/>
      <x:c r="B22" s="2"/>
      <x:c r="C22" s="2" t="str">
        <x:v>全球上线目标月</x:v>
      </x:c>
      <x:c r="D22" s="2"/>
      <x:c r="E22" s="21" t="n">
        <x:f>'现金假设'!E13</x:f>
        <x:v>46508</x:v>
      </x:c>
      <x:c r="F22" s="2"/>
      <x:c r="G22" s="2"/>
      <x:c r="H22" s="2"/>
      <x:c r="I22" s="2"/>
      <x:c r="J22" s="2"/>
      <x:c r="K22" s="2"/>
      <x:c r="L22" s="2"/>
      <x:c r="M22" s="2"/>
      <x:c r="N22" s="2"/>
      <x:c r="O22" s="2"/>
    </x:row>
    <x:row r="23" ht="24" customHeight="1">
      <x:c r="A23" s="2"/>
      <x:c r="B23" s="2"/>
      <x:c r="C23" s="2" t="str">
        <x:v>国内公测目标月</x:v>
      </x:c>
      <x:c r="D23" s="2"/>
      <x:c r="E23" s="21" t="n">
        <x:f>'现金假设'!E14</x:f>
        <x:v>46539</x:v>
      </x:c>
      <x:c r="F23" s="2"/>
      <x:c r="G23" s="2"/>
      <x:c r="H23" s="2"/>
      <x:c r="I23" s="2"/>
      <x:c r="J23" s="2"/>
      <x:c r="K23" s="2"/>
      <x:c r="L23" s="2"/>
      <x:c r="M23" s="2"/>
      <x:c r="N23" s="2"/>
      <x:c r="O23" s="2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</x:row>
    <x:row r="26" ht="28" customHeight="1">
      <x:c r="A26" s="2"/>
      <x:c r="B26" s="2"/>
      <x:c r="C26" s="25" t="str">
        <x:v>资金用途</x:v>
      </x:c>
      <x:c r="D26" s="25"/>
      <x:c r="E26" s="25" t="str">
        <x:v>预算（USD）</x:v>
      </x:c>
      <x:c r="F26" s="25" t="str">
        <x:v>占比</x:v>
      </x:c>
      <x:c r="G26" s="2"/>
      <x:c r="H26" s="2"/>
      <x:c r="I26" s="2"/>
      <x:c r="J26" s="2"/>
      <x:c r="K26" s="2"/>
      <x:c r="L26" s="2"/>
      <x:c r="M26" s="2"/>
      <x:c r="N26" s="2"/>
      <x:c r="O26" s="2"/>
    </x:row>
    <x:row r="27" ht="24" customHeight="1">
      <x:c r="A27" s="2"/>
      <x:c r="B27" s="2"/>
      <x:c r="C27" s="2" t="str">
        <x:f>'现金假设'!C36</x:f>
        <x:v>产品研发</x:v>
      </x:c>
      <x:c r="D27" s="2"/>
      <x:c r="E27" s="16" t="n">
        <x:f>'现金假设'!E36</x:f>
        <x:v>4500000</x:v>
      </x:c>
      <x:c r="F27" s="26" t="n">
        <x:f>'现金假设'!H36</x:f>
        <x:v>0.5</x:v>
      </x:c>
      <x:c r="G27" s="2"/>
      <x:c r="H27" s="2"/>
      <x:c r="I27" s="2"/>
      <x:c r="J27" s="2"/>
      <x:c r="K27" s="2"/>
      <x:c r="L27" s="2"/>
      <x:c r="M27" s="2"/>
      <x:c r="N27" s="2"/>
      <x:c r="O27" s="2"/>
    </x:row>
    <x:row r="28" ht="24" customHeight="1">
      <x:c r="A28" s="2"/>
      <x:c r="B28" s="2"/>
      <x:c r="C28" s="2" t="str">
        <x:f>'现金假设'!C37</x:f>
        <x:v>发行与商业化启动</x:v>
      </x:c>
      <x:c r="D28" s="2"/>
      <x:c r="E28" s="16" t="n">
        <x:f>'现金假设'!E37</x:f>
        <x:v>1500000</x:v>
      </x:c>
      <x:c r="F28" s="26" t="n">
        <x:f>'现金假设'!H37</x:f>
        <x:v>0.16666666666666666</x:v>
      </x:c>
      <x:c r="G28" s="2"/>
      <x:c r="H28" s="2"/>
      <x:c r="I28" s="2"/>
      <x:c r="J28" s="2"/>
      <x:c r="K28" s="2"/>
      <x:c r="L28" s="2"/>
      <x:c r="M28" s="2"/>
      <x:c r="N28" s="2"/>
      <x:c r="O28" s="2"/>
    </x:row>
    <x:row r="29" ht="24" customHeight="1">
      <x:c r="A29" s="2"/>
      <x:c r="B29" s="2"/>
      <x:c r="C29" s="2" t="str">
        <x:f>'现金假设'!C38</x:f>
        <x:v>Token成本补贴</x:v>
      </x:c>
      <x:c r="D29" s="2"/>
      <x:c r="E29" s="16" t="n">
        <x:f>'现金假设'!E38</x:f>
        <x:v>2000000</x:v>
      </x:c>
      <x:c r="F29" s="26" t="n">
        <x:f>'现金假设'!H38</x:f>
        <x:v>0.2222222222222222</x:v>
      </x:c>
      <x:c r="G29" s="2"/>
      <x:c r="H29" s="2"/>
      <x:c r="I29" s="2"/>
      <x:c r="J29" s="2"/>
      <x:c r="K29" s="2"/>
      <x:c r="L29" s="2"/>
      <x:c r="M29" s="2"/>
      <x:c r="N29" s="2"/>
      <x:c r="O29" s="2"/>
    </x:row>
    <x:row r="30" ht="24" customHeight="1">
      <x:c r="A30" s="2"/>
      <x:c r="B30" s="2"/>
      <x:c r="C30" s="2" t="str">
        <x:f>'现金假设'!C39</x:f>
        <x:v>风险缓冲与储备</x:v>
      </x:c>
      <x:c r="D30" s="2"/>
      <x:c r="E30" s="16" t="n">
        <x:f>'现金假设'!E39</x:f>
        <x:v>1000000</x:v>
      </x:c>
      <x:c r="F30" s="26" t="n">
        <x:f>'现金假设'!H39</x:f>
        <x:v>0.1111111111111111</x:v>
      </x:c>
      <x:c r="G30" s="2"/>
      <x:c r="H30" s="2"/>
      <x:c r="I30" s="2"/>
      <x:c r="J30" s="2"/>
      <x:c r="K30" s="2"/>
      <x:c r="L30" s="2"/>
      <x:c r="M30" s="2"/>
      <x:c r="N30" s="2"/>
      <x:c r="O30" s="2"/>
    </x:row>
    <x:row r="31" ht="28" customHeight="1">
      <x:c r="A31" s="2"/>
      <x:c r="B31" s="2"/>
      <x:c r="C31" s="20" t="str">
        <x:v>合计</x:v>
      </x:c>
      <x:c r="D31" s="20"/>
      <x:c r="E31" s="27" t="n">
        <x:f>SUM(E27:E30)</x:f>
        <x:v>9000000</x:v>
      </x:c>
      <x:c r="F31" s="28" t="n">
        <x:f>SUM(F27:F30)</x:f>
        <x:v>1</x:v>
      </x:c>
      <x:c r="G31" s="2"/>
      <x:c r="H31" s="2"/>
      <x:c r="I31" s="2"/>
      <x:c r="J31" s="2"/>
      <x:c r="K31" s="2"/>
      <x:c r="L31" s="2"/>
      <x:c r="M31" s="2"/>
      <x:c r="N31" s="2"/>
      <x:c r="O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</x:row>
    <x:row r="34" ht="24" customHeight="1">
      <x:c r="A34" s="2"/>
      <x:c r="B34" s="2"/>
      <x:c r="C34" s="18" t="str">
        <x:v>当前资金是近似值。起始日前现金变化、未验证经营回款与未批资助未纳入。</x:v>
      </x:c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</x:row>
    <x:row r="35" ht="24" customHeight="1">
      <x:c r="A35" s="2"/>
      <x:c r="B35" s="2"/>
      <x:c r="C35" s="18" t="str">
        <x:v>支出均摊期限为可编辑测算假设，不代表实际月燃或已批准经营预算。</x:v>
      </x:c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</x:row>
    <x:row r="36" ht="24" customHeight="1">
      <x:c r="A36" s="2"/>
      <x:c r="B36" s="2"/>
      <x:c r="C36" s="18" t="str">
        <x:v>风险储备不重复列支。7.5%仅为融资额/投后估值的简单比例，不替代完全摊薄股权表。</x:v>
      </x:c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</x:row>
    <x:row r="37" ht="24" customHeight="1">
      <x:c r="A37" s="2"/>
      <x:c r="B37" s="2"/>
      <x:c r="C37" s="18" t="str">
        <x:v>历史长期预测另页保存，未按新上市日期重算，不构成当前经营预测。</x:v>
      </x:c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</x:row>
  </x:sheetData>
  <x:conditionalFormatting sqref="E14:E17">
    <x:cfRule type="cellIs" dxfId="5" priority="1" operator="lessThan">
      <x:formula>0</x:formula>
    </x:cfRule>
  </x:conditionalFormatting>
  <x:pageMargins left="0.7" right="0.7" top="0.75" bottom="0.75" header="0.3" footer="0.3"/>
  <x:drawing xmlns:r="http://schemas.openxmlformats.org/officeDocument/2006/relationships" r:id="R1b8b71c485744481"/>
</x:worksheet>
</file>

<file path=xl/worksheets/sheet2.xml><?xml version="1.0" encoding="utf-8"?>
<x:worksheet xmlns:x="http://schemas.openxmlformats.org/spreadsheetml/2006/main">
  <x:sheetPr>
    <x:tabColor rgb="FF8C62A2"/>
  </x:sheetPr>
  <x:sheetViews>
    <x:sheetView showGridLines="0" workbookViewId="0"/>
  </x:sheetViews>
  <x:sheetFormatPr defaultRowHeight="15"/>
  <x:cols>
    <x:col min="1" max="1" width="2" hidden="0" customWidth="1"/>
    <x:col min="2" max="2" width="2" hidden="0" customWidth="1"/>
    <x:col min="3" max="3" width="34" hidden="0" customWidth="1"/>
    <x:col min="4" max="4" width="3" hidden="0" customWidth="1"/>
    <x:col min="5" max="5" width="20" hidden="0" customWidth="1"/>
    <x:col min="6" max="6" width="16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24" customHeight="1">
      <x:c r="A2" s="2"/>
      <x:c r="B2" s="2"/>
      <x:c r="C2" s="3" t="str">
        <x:v>现金假设与预算安排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4" customHeight="1">
      <x:c r="A3" s="2"/>
      <x:c r="B3" s="2"/>
      <x:c r="C3" s="6" t="str">
        <x:v>USD；黄色为可编辑输入。现金与预算均以 2026-10-16 用户更新为依据。</x:v>
      </x:c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2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24" customHeight="1">
      <x:c r="A5" s="2"/>
      <x:c r="B5" s="2"/>
      <x:c r="C5" s="2" t="str">
        <x:v>情景选择（1 / 2 / 3）</x:v>
      </x:c>
      <x:c r="D5" s="2"/>
      <x:c r="E5" s="9" t="n">
        <x:v>1</x:v>
      </x:c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24" customHeight="1">
      <x:c r="A6" s="2"/>
      <x:c r="B6" s="2"/>
      <x:c r="C6" s="2" t="str">
        <x:v>当前情景</x:v>
      </x:c>
      <x:c r="D6" s="2"/>
      <x:c r="E6" s="11" t="str">
        <x:f>CHOOSE(E5,"目标融资计入首期","目标融资延后3个月","不计新增融资")</x:f>
        <x:v>目标融资计入首期</x:v>
      </x:c>
      <x:c r="F6" s="12"/>
      <x:c r="G6" s="12"/>
      <x:c r="H6" s="13"/>
      <x:c r="I6" s="2"/>
      <x:c r="J6" s="2"/>
      <x:c r="K6" s="2"/>
      <x:c r="L6" s="2"/>
      <x:c r="M6" s="2"/>
      <x:c r="N6" s="2"/>
      <x:c r="O6" s="2"/>
    </x:row>
    <x:row r="7" ht="24" customHeight="1">
      <x:c r="A7" s="2"/>
      <x:c r="B7" s="2"/>
      <x:c r="C7" s="2" t="str">
        <x:v>测算起始月</x:v>
      </x:c>
      <x:c r="D7" s="2"/>
      <x:c r="E7" s="14" t="d">
        <x:v>2026-11-01T00:00:00.000Z</x:v>
      </x:c>
      <x:c r="F7" s="2"/>
      <x:c r="G7" s="2"/>
      <x:c r="H7" s="2"/>
      <x:c r="I7" s="2"/>
      <x:c r="J7" s="2"/>
      <x:c r="K7" s="2"/>
      <x:c r="L7" s="2"/>
      <x:c r="M7" s="2"/>
      <x:c r="N7" s="2"/>
      <x:c r="O7" s="2"/>
    </x:row>
    <x:row r="8" ht="24" customHeight="1">
      <x:c r="A8" s="2"/>
      <x:c r="B8" s="2"/>
      <x:c r="C8" s="2" t="str">
        <x:v>现有资金测算锚点（近似）</x:v>
      </x:c>
      <x:c r="D8" s="2"/>
      <x:c r="E8" s="15" t="n">
        <x:v>4000000</x:v>
      </x:c>
      <x:c r="F8" s="2"/>
      <x:c r="G8" s="18" t="str">
        <x:v>“近400万美元”取400万美元作敏感性锚点，非审计余额。</x:v>
      </x:c>
      <x:c r="H8" s="2"/>
      <x:c r="I8" s="2"/>
      <x:c r="J8" s="2"/>
      <x:c r="K8" s="2"/>
      <x:c r="L8" s="2"/>
      <x:c r="M8" s="2"/>
      <x:c r="N8" s="2"/>
      <x:c r="O8" s="2"/>
    </x:row>
    <x:row r="9" ht="24" customHeight="1">
      <x:c r="A9" s="2"/>
      <x:c r="B9" s="2"/>
      <x:c r="C9" s="2" t="str">
        <x:v>起始日前现金净减少调整</x:v>
      </x:c>
      <x:c r="D9" s="2"/>
      <x:c r="E9" s="15" t="n">
        <x:v>0</x:v>
      </x:c>
      <x:c r="F9" s="2"/>
      <x:c r="G9" s="18" t="str">
        <x:v>尚无10月余下支出资料；默认0仅为输入占位，请按起始日余额调整。</x:v>
      </x:c>
      <x:c r="H9" s="2"/>
      <x:c r="I9" s="2"/>
      <x:c r="J9" s="2"/>
      <x:c r="K9" s="2"/>
      <x:c r="L9" s="2"/>
      <x:c r="M9" s="2"/>
      <x:c r="N9" s="2"/>
      <x:c r="O9" s="2"/>
    </x:row>
    <x:row r="10" ht="24" customHeight="1">
      <x:c r="A10" s="2"/>
      <x:c r="B10" s="2"/>
      <x:c r="C10" s="2" t="str">
        <x:v>目标融资金额</x:v>
      </x:c>
      <x:c r="D10" s="2"/>
      <x:c r="E10" s="15" t="n">
        <x:v>5000000</x:v>
      </x:c>
      <x:c r="F10" s="2"/>
      <x:c r="G10" s="2"/>
      <x:c r="H10" s="2"/>
      <x:c r="I10" s="2"/>
      <x:c r="J10" s="2"/>
      <x:c r="K10" s="2"/>
      <x:c r="L10" s="2"/>
      <x:c r="M10" s="2"/>
      <x:c r="N10" s="2"/>
      <x:c r="O10" s="2"/>
    </x:row>
    <x:row r="11" ht="24" customHeight="1">
      <x:c r="A11" s="2"/>
      <x:c r="B11" s="2"/>
      <x:c r="C11" s="2" t="str">
        <x:v>投后估值</x:v>
      </x:c>
      <x:c r="D11" s="2"/>
      <x:c r="E11" s="15" t="n">
        <x:v>66500000</x:v>
      </x:c>
      <x:c r="F11" s="2"/>
      <x:c r="G11" s="2"/>
      <x:c r="H11" s="2"/>
      <x:c r="I11" s="2"/>
      <x:c r="J11" s="2"/>
      <x:c r="K11" s="2"/>
      <x:c r="L11" s="2"/>
      <x:c r="M11" s="2"/>
      <x:c r="N11" s="2"/>
      <x:c r="O11" s="2"/>
    </x:row>
    <x:row r="12" ht="24" customHeight="1">
      <x:c r="A12" s="2"/>
      <x:c r="B12" s="2"/>
      <x:c r="C12" s="2" t="str">
        <x:v>测算期初可用资金</x:v>
      </x:c>
      <x:c r="D12" s="2"/>
      <x:c r="E12" s="16" t="n">
        <x:f>E8-E9</x:f>
        <x:v>4000000</x:v>
      </x:c>
      <x:c r="F12" s="2"/>
      <x:c r="G12" s="2"/>
      <x:c r="H12" s="2"/>
      <x:c r="I12" s="2"/>
      <x:c r="J12" s="2"/>
      <x:c r="K12" s="2"/>
      <x:c r="L12" s="2"/>
      <x:c r="M12" s="2"/>
      <x:c r="N12" s="2"/>
      <x:c r="O12" s="2"/>
    </x:row>
    <x:row r="13" ht="24" customHeight="1">
      <x:c r="A13" s="2"/>
      <x:c r="B13" s="2"/>
      <x:c r="C13" s="2" t="str">
        <x:v>全球上线目标月</x:v>
      </x:c>
      <x:c r="D13" s="2"/>
      <x:c r="E13" s="14" t="d">
        <x:v>2027-05-01T00:00:00.000Z</x:v>
      </x:c>
      <x:c r="F13" s="2"/>
      <x:c r="G13" s="2"/>
      <x:c r="H13" s="2"/>
      <x:c r="I13" s="2"/>
      <x:c r="J13" s="2"/>
      <x:c r="K13" s="2"/>
      <x:c r="L13" s="2"/>
      <x:c r="M13" s="2"/>
      <x:c r="N13" s="2"/>
      <x:c r="O13" s="2"/>
    </x:row>
    <x:row r="14" ht="24" customHeight="1">
      <x:c r="A14" s="2"/>
      <x:c r="B14" s="2"/>
      <x:c r="C14" s="2" t="str">
        <x:v>国内公测目标月</x:v>
      </x:c>
      <x:c r="D14" s="2"/>
      <x:c r="E14" s="14" t="d">
        <x:v>2027-06-01T00:00:00.000Z</x:v>
      </x:c>
      <x:c r="F14" s="2"/>
      <x:c r="G14" s="2"/>
      <x:c r="H14" s="2"/>
      <x:c r="I14" s="2"/>
      <x:c r="J14" s="2"/>
      <x:c r="K14" s="2"/>
      <x:c r="L14" s="2"/>
      <x:c r="M14" s="2"/>
      <x:c r="N14" s="2"/>
      <x:c r="O14" s="2"/>
    </x:row>
    <x:row r="15" ht="24" customHeight="1">
      <x:c r="A15" s="2"/>
      <x:c r="B15" s="2"/>
      <x:c r="C15" s="2" t="str">
        <x:v>纳入现金测算的政府资助</x:v>
      </x:c>
      <x:c r="D15" s="2"/>
      <x:c r="E15" s="16" t="n">
        <x:v>0</x:v>
      </x:c>
      <x:c r="F15" s="2"/>
      <x:c r="G15" s="18" t="str">
        <x:v>RAISe+ 未获政府批准，不纳入本版现金来源。</x:v>
      </x:c>
      <x:c r="H15" s="2"/>
      <x:c r="I15" s="2"/>
      <x:c r="J15" s="2"/>
      <x:c r="K15" s="2"/>
      <x:c r="L15" s="2"/>
      <x:c r="M15" s="2"/>
      <x:c r="N15" s="2"/>
      <x:c r="O15" s="2"/>
    </x:row>
    <x:row r="16" ht="24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</x:row>
    <x:row r="17" ht="28" customHeight="1">
      <x:c r="A17" s="2"/>
      <x:c r="B17" s="2"/>
      <x:c r="C17" s="20" t="str">
        <x:v>融资条件的三种测算情景</x:v>
      </x:c>
      <x:c r="D17" s="20"/>
      <x:c r="E17" s="20"/>
      <x:c r="F17" s="20"/>
      <x:c r="G17" s="20"/>
      <x:c r="H17" s="20"/>
      <x:c r="I17" s="2"/>
      <x:c r="J17" s="2"/>
      <x:c r="K17" s="2"/>
      <x:c r="L17" s="2"/>
      <x:c r="M17" s="2"/>
      <x:c r="N17" s="2"/>
      <x:c r="O17" s="2"/>
    </x:row>
    <x:row r="18" ht="24" customHeight="1">
      <x:c r="A18" s="2"/>
      <x:c r="B18" s="2"/>
      <x:c r="C18" s="2" t="str">
        <x:v>当前情景新增融资金额</x:v>
      </x:c>
      <x:c r="D18" s="2"/>
      <x:c r="E18" s="29" t="n">
        <x:f>CHOOSE($E$5,E19,E20,E21)</x:f>
        <x:v>5000000</x:v>
      </x:c>
      <x:c r="F18" s="2"/>
      <x:c r="G18" s="18" t="str">
        <x:v>情景是条件测算，不表示交易进度或承诺到账日期。</x:v>
      </x:c>
      <x:c r="H18" s="2"/>
      <x:c r="I18" s="2"/>
      <x:c r="J18" s="2"/>
      <x:c r="K18" s="2"/>
      <x:c r="L18" s="2"/>
      <x:c r="M18" s="2"/>
      <x:c r="N18" s="2"/>
      <x:c r="O18" s="2"/>
    </x:row>
    <x:row r="19" ht="24" customHeight="1">
      <x:c r="A19" s="2"/>
      <x:c r="B19" s="2"/>
      <x:c r="C19" s="2" t="str">
        <x:v>首期计入目标融资</x:v>
      </x:c>
      <x:c r="D19" s="2"/>
      <x:c r="E19" s="16" t="n">
        <x:f>E10</x:f>
        <x:v>5000000</x:v>
      </x:c>
      <x:c r="F19" s="2"/>
      <x:c r="G19" s="2"/>
      <x:c r="H19" s="2"/>
      <x:c r="I19" s="2"/>
      <x:c r="J19" s="2"/>
      <x:c r="K19" s="2"/>
      <x:c r="L19" s="2"/>
      <x:c r="M19" s="2"/>
      <x:c r="N19" s="2"/>
      <x:c r="O19" s="2"/>
    </x:row>
    <x:row r="20" ht="24" customHeight="1">
      <x:c r="A20" s="2"/>
      <x:c r="B20" s="2"/>
      <x:c r="C20" s="2" t="str">
        <x:v>延后3个月计入目标融资</x:v>
      </x:c>
      <x:c r="D20" s="2"/>
      <x:c r="E20" s="16" t="n">
        <x:f>E10</x:f>
        <x:v>5000000</x:v>
      </x:c>
      <x:c r="F20" s="2"/>
      <x:c r="G20" s="2"/>
      <x:c r="H20" s="2"/>
      <x:c r="I20" s="2"/>
      <x:c r="J20" s="2"/>
      <x:c r="K20" s="2"/>
      <x:c r="L20" s="2"/>
      <x:c r="M20" s="2"/>
      <x:c r="N20" s="2"/>
      <x:c r="O20" s="2"/>
    </x:row>
    <x:row r="21" ht="24" customHeight="1">
      <x:c r="A21" s="2"/>
      <x:c r="B21" s="2"/>
      <x:c r="C21" s="2" t="str">
        <x:v>不计新增融资</x:v>
      </x:c>
      <x:c r="D21" s="2"/>
      <x:c r="E21" s="15" t="n">
        <x:v>0</x:v>
      </x:c>
      <x:c r="F21" s="2"/>
      <x:c r="G21" s="2"/>
      <x:c r="H21" s="2"/>
      <x:c r="I21" s="2"/>
      <x:c r="J21" s="2"/>
      <x:c r="K21" s="2"/>
      <x:c r="L21" s="2"/>
      <x:c r="M21" s="2"/>
      <x:c r="N21" s="2"/>
      <x:c r="O21" s="2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</x:row>
    <x:row r="23" ht="24" customHeight="1">
      <x:c r="A23" s="2"/>
      <x:c r="B23" s="2"/>
      <x:c r="C23" s="2" t="str">
        <x:v>当前情景资金计入月</x:v>
      </x:c>
      <x:c r="D23" s="2"/>
      <x:c r="E23" s="30" t="n">
        <x:f>CHOOSE($E$5,E24,E25,E26)</x:f>
        <x:v>46327</x:v>
      </x:c>
      <x:c r="F23" s="2"/>
      <x:c r="G23" s="18" t="str">
        <x:v>首期和延后3个月为可复算的比较条件。</x:v>
      </x:c>
      <x:c r="H23" s="2"/>
      <x:c r="I23" s="2"/>
      <x:c r="J23" s="2"/>
      <x:c r="K23" s="2"/>
      <x:c r="L23" s="2"/>
      <x:c r="M23" s="2"/>
      <x:c r="N23" s="2"/>
      <x:c r="O23" s="2"/>
    </x:row>
    <x:row r="24" ht="24" customHeight="1">
      <x:c r="A24" s="2"/>
      <x:c r="B24" s="2"/>
      <x:c r="C24" s="2" t="str">
        <x:v>首期情景的计入月</x:v>
      </x:c>
      <x:c r="D24" s="2"/>
      <x:c r="E24" s="21" t="n">
        <x:f>E7</x:f>
        <x:v>46327</x:v>
      </x:c>
      <x:c r="F24" s="2"/>
      <x:c r="G24" s="2"/>
      <x:c r="H24" s="2"/>
      <x:c r="I24" s="2"/>
      <x:c r="J24" s="2"/>
      <x:c r="K24" s="2"/>
      <x:c r="L24" s="2"/>
      <x:c r="M24" s="2"/>
      <x:c r="N24" s="2"/>
      <x:c r="O24" s="2"/>
    </x:row>
    <x:row r="25" ht="24" customHeight="1">
      <x:c r="A25" s="2"/>
      <x:c r="B25" s="2"/>
      <x:c r="C25" s="2" t="str">
        <x:v>延后情景的计入月</x:v>
      </x:c>
      <x:c r="D25" s="2"/>
      <x:c r="E25" s="21" t="n">
        <x:f>EDATE(E7,3)</x:f>
        <x:v>46419</x:v>
      </x:c>
      <x:c r="F25" s="2"/>
      <x:c r="G25" s="2"/>
      <x:c r="H25" s="2"/>
      <x:c r="I25" s="2"/>
      <x:c r="J25" s="2"/>
      <x:c r="K25" s="2"/>
      <x:c r="L25" s="2"/>
      <x:c r="M25" s="2"/>
      <x:c r="N25" s="2"/>
      <x:c r="O25" s="2"/>
    </x:row>
    <x:row r="26" ht="24" customHeight="1">
      <x:c r="A26" s="2"/>
      <x:c r="B26" s="2"/>
      <x:c r="C26" s="2" t="str">
        <x:v>无新增资金情景的比较月</x:v>
      </x:c>
      <x:c r="D26" s="2"/>
      <x:c r="E26" s="21" t="n">
        <x:f>E7</x:f>
        <x:v>46327</x:v>
      </x:c>
      <x:c r="F26" s="2"/>
      <x:c r="G26" s="2"/>
      <x:c r="H26" s="2"/>
      <x:c r="I26" s="2"/>
      <x:c r="J26" s="2"/>
      <x:c r="K26" s="2"/>
      <x:c r="L26" s="2"/>
      <x:c r="M26" s="2"/>
      <x:c r="N26" s="2"/>
      <x:c r="O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</x:row>
    <x:row r="28" ht="24" customHeight="1">
      <x:c r="A28" s="2"/>
      <x:c r="B28" s="2"/>
      <x:c r="C28" s="2" t="str">
        <x:v>现金支出倍数</x:v>
      </x:c>
      <x:c r="D28" s="2"/>
      <x:c r="E28" s="22" t="n">
        <x:v>1</x:v>
      </x:c>
      <x:c r="F28" s="2"/>
      <x:c r="G28" s="18" t="str">
        <x:v>1.00x 按预算分配。可改为1.20x等，检验超支影响。</x:v>
      </x:c>
      <x:c r="H28" s="2"/>
      <x:c r="I28" s="2"/>
      <x:c r="J28" s="2"/>
      <x:c r="K28" s="2"/>
      <x:c r="L28" s="2"/>
      <x:c r="M28" s="2"/>
      <x:c r="N28" s="2"/>
      <x:c r="O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</x:row>
    <x:row r="30" ht="24" customHeight="1">
      <x:c r="A30" s="2"/>
      <x:c r="B30" s="2"/>
      <x:c r="C30" s="18" t="str">
        <x:v>现金测算不计经营回款、利息、未来融资及未批准资助。</x:v>
      </x:c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</x:row>
    <x:row r="31" ht="24" customHeight="1">
      <x:c r="A31" s="2"/>
      <x:c r="B31" s="2"/>
      <x:c r="C31" s="18" t="str">
        <x:v>模型覆盖24个月。支出时间是均摊测算假设，不代表已批准的月度经营预算。</x:v>
      </x:c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</x:row>
    <x:row r="35" ht="28" customHeight="1">
      <x:c r="A35" s="2"/>
      <x:c r="B35" s="2"/>
      <x:c r="C35" s="25" t="str">
        <x:v>资金用途</x:v>
      </x:c>
      <x:c r="D35" s="25"/>
      <x:c r="E35" s="25" t="str">
        <x:v>总额（USD）</x:v>
      </x:c>
      <x:c r="F35" s="25" t="str">
        <x:v>均摊月数</x:v>
      </x:c>
      <x:c r="G35" s="25" t="str">
        <x:v>开始月</x:v>
      </x:c>
      <x:c r="H35" s="25" t="str">
        <x:v>占比</x:v>
      </x:c>
      <x:c r="I35" s="2"/>
      <x:c r="J35" s="25" t="str">
        <x:v>期间输入</x:v>
      </x:c>
      <x:c r="K35" s="25"/>
      <x:c r="L35" s="2"/>
      <x:c r="M35" s="2"/>
      <x:c r="N35" s="2"/>
      <x:c r="O35" s="2"/>
    </x:row>
    <x:row r="36" ht="24" customHeight="1">
      <x:c r="A36" s="2"/>
      <x:c r="B36" s="2"/>
      <x:c r="C36" s="2" t="str">
        <x:v>产品研发</x:v>
      </x:c>
      <x:c r="D36" s="2"/>
      <x:c r="E36" s="15" t="n">
        <x:v>4500000</x:v>
      </x:c>
      <x:c r="F36" s="9" t="n">
        <x:v>24</x:v>
      </x:c>
      <x:c r="G36" s="14" t="d">
        <x:v>2026-11-01T00:00:00.000Z</x:v>
      </x:c>
      <x:c r="H36" s="26" t="n">
        <x:f>E36/$E$40</x:f>
        <x:v>0.5</x:v>
      </x:c>
      <x:c r="I36" s="2"/>
      <x:c r="J36" s="2" t="str">
        <x:f>IF(AND(COUNT(E36:G36)=3,F36&gt;0,E36&gt;=0),"已填","待补全")</x:f>
        <x:v>已填</x:v>
      </x:c>
      <x:c r="K36" s="2"/>
      <x:c r="L36" s="2"/>
      <x:c r="M36" s="2"/>
      <x:c r="N36" s="2"/>
      <x:c r="O36" s="2"/>
    </x:row>
    <x:row r="37" ht="24" customHeight="1">
      <x:c r="A37" s="2"/>
      <x:c r="B37" s="2"/>
      <x:c r="C37" s="2" t="str">
        <x:v>发行与商业化启动</x:v>
      </x:c>
      <x:c r="D37" s="2"/>
      <x:c r="E37" s="15" t="n">
        <x:v>1500000</x:v>
      </x:c>
      <x:c r="F37" s="9" t="n">
        <x:v>20</x:v>
      </x:c>
      <x:c r="G37" s="14" t="d">
        <x:v>2027-03-01T00:00:00.000Z</x:v>
      </x:c>
      <x:c r="H37" s="26" t="n">
        <x:f>E37/$E$40</x:f>
        <x:v>0.16666666666666666</x:v>
      </x:c>
      <x:c r="I37" s="2"/>
      <x:c r="J37" s="2" t="str">
        <x:f>IF(AND(COUNT(E37:G37)=3,F37&gt;0,E37&gt;=0),"已填","待补全")</x:f>
        <x:v>已填</x:v>
      </x:c>
      <x:c r="K37" s="2"/>
      <x:c r="L37" s="2"/>
      <x:c r="M37" s="2"/>
      <x:c r="N37" s="2"/>
      <x:c r="O37" s="2"/>
    </x:row>
    <x:row r="38" ht="24" customHeight="1">
      <x:c r="A38" s="2"/>
      <x:c r="B38" s="2"/>
      <x:c r="C38" s="2" t="str">
        <x:v>Token成本补贴</x:v>
      </x:c>
      <x:c r="D38" s="2"/>
      <x:c r="E38" s="15" t="n">
        <x:v>2000000</x:v>
      </x:c>
      <x:c r="F38" s="9" t="n">
        <x:v>18</x:v>
      </x:c>
      <x:c r="G38" s="14" t="d">
        <x:v>2027-05-01T00:00:00.000Z</x:v>
      </x:c>
      <x:c r="H38" s="26" t="n">
        <x:f>E38/$E$40</x:f>
        <x:v>0.2222222222222222</x:v>
      </x:c>
      <x:c r="I38" s="2"/>
      <x:c r="J38" s="2" t="str">
        <x:f>IF(AND(COUNT(E38:G38)=3,F38&gt;0,E38&gt;=0),"已填","待补全")</x:f>
        <x:v>已填</x:v>
      </x:c>
      <x:c r="K38" s="2"/>
      <x:c r="L38" s="2"/>
      <x:c r="M38" s="2"/>
      <x:c r="N38" s="2"/>
      <x:c r="O38" s="2"/>
    </x:row>
    <x:row r="39" ht="24" customHeight="1">
      <x:c r="A39" s="2"/>
      <x:c r="B39" s="2"/>
      <x:c r="C39" s="2" t="str">
        <x:v>风险缓冲与储备</x:v>
      </x:c>
      <x:c r="D39" s="2"/>
      <x:c r="E39" s="15" t="n">
        <x:v>1000000</x:v>
      </x:c>
      <x:c r="F39" s="2"/>
      <x:c r="G39" s="2"/>
      <x:c r="H39" s="26" t="n">
        <x:f>E39/$E$40</x:f>
        <x:v>0.1111111111111111</x:v>
      </x:c>
      <x:c r="I39" s="2"/>
      <x:c r="J39" s="2"/>
      <x:c r="K39" s="2"/>
      <x:c r="L39" s="2"/>
      <x:c r="M39" s="2"/>
      <x:c r="N39" s="2"/>
      <x:c r="O39" s="2"/>
    </x:row>
    <x:row r="40" ht="28" customHeight="1">
      <x:c r="A40" s="2"/>
      <x:c r="B40" s="2"/>
      <x:c r="C40" s="20" t="str">
        <x:v>合计</x:v>
      </x:c>
      <x:c r="D40" s="20"/>
      <x:c r="E40" s="27" t="n">
        <x:f>SUM(E36:E39)</x:f>
        <x:v>9000000</x:v>
      </x:c>
      <x:c r="F40" s="20"/>
      <x:c r="G40" s="20"/>
      <x:c r="H40" s="28" t="n">
        <x:f>SUM(H36:H39)</x:f>
        <x:v>1</x:v>
      </x:c>
      <x:c r="I40" s="2"/>
      <x:c r="J40" s="2"/>
      <x:c r="K40" s="2"/>
      <x:c r="L40" s="2"/>
      <x:c r="M40" s="2"/>
      <x:c r="N40" s="2"/>
      <x:c r="O40" s="2"/>
    </x:row>
    <x:row r="41" ht="24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</x:row>
    <x:row r="42" ht="24" customHeight="1">
      <x:c r="A42" s="2"/>
      <x:c r="B42" s="2"/>
      <x:c r="C42" s="18" t="str">
        <x:v>风险储备作为现金下限，不同时列为支出，避免重复扣减。</x:v>
      </x:c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</x:row>
    <x:row r="43" ht="24" customHeight="1">
      <x:c r="A43" s="2"/>
      <x:c r="B43" s="2"/>
      <x:c r="C43" s="18" t="str">
        <x:v>发行从2027年3月、Token从2027年5月起均摊，仅用于与新上市节奏对齐的预算示例。</x:v>
      </x:c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</x:row>
    <x:row r="44" ht="24" customHeight="1">
      <x:c r="A44" s="2"/>
      <x:c r="B44" s="2"/>
      <x:c r="C44" s="18" t="str">
        <x:v>若要发布经营预测，应补齐人员、获客、付费、推理成本和逐月现金预算。</x:v>
      </x:c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</x:row>
    <x:row r="47" ht="24" customHeight="1">
      <x:c r="A47" s="2"/>
      <x:c r="B47" s="2"/>
      <x:c r="C47" s="2" t="str">
        <x:v>输入来源</x:v>
      </x:c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</x:row>
    <x:row r="48" ht="24" customHeight="1">
      <x:c r="A48" s="2"/>
      <x:c r="B48" s="2"/>
      <x:c r="C48" s="18" t="str">
        <x:v>2026-10-16 用户明确更新：融资、现金、资金用途与上线日期。</x:v>
      </x:c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</x:row>
    <x:row r="49" ht="24" customHeight="1">
      <x:c r="A49" s="2"/>
      <x:c r="B49" s="2"/>
      <x:c r="C49" s="18" t="str">
        <x:v>已发布融资Deck：https://bauhinia-prea-2026.pages.dev/#16</x:v>
      </x:c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</x:row>
    <x:row r="50" ht="24" customHeight="1">
      <x:c r="A50" s="2"/>
      <x:c r="B50" s="2"/>
      <x:c r="C50" s="18" t="str">
        <x:v>RAISe+ 申请进度：https://bauhinia-prea-2026.pages.dev/#15</x:v>
      </x:c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</x:row>
    <x:row r="51" ht="24" customHeight="1">
      <x:c r="A51" s="2"/>
      <x:c r="B51" s="2"/>
      <x:c r="C51" s="18" t="str">
        <x:v>日期与支出均摊期限为本测算可编辑假设，已与用户确认数据分开。</x:v>
      </x:c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</x:row>
  </x:sheetData>
  <x:conditionalFormatting sqref="J36:K36">
    <x:cfRule type="containsText" dxfId="0" priority="1" operator="containsText" text="待补全"/>
  </x:conditionalFormatting>
  <x:conditionalFormatting sqref="J37:K37">
    <x:cfRule type="containsText" dxfId="1" priority="2" operator="containsText" text="待补全"/>
  </x:conditionalFormatting>
  <x:conditionalFormatting sqref="J38:K38">
    <x:cfRule type="containsText" dxfId="2" priority="3" operator="containsText" text="待补全"/>
  </x:conditionalFormatting>
  <x:dataValidations count="5">
    <x:dataValidation type="whole" operator="between" sqref="E5">
      <x:formula1>1</x:formula1>
      <x:formula2>3</x:formula2>
    </x:dataValidation>
    <x:dataValidation type="decimal" operator="greaterThan" sqref="E28">
      <x:formula1>0</x:formula1>
    </x:dataValidation>
    <x:dataValidation type="whole" operator="between" sqref="F36">
      <x:formula1>1</x:formula1>
      <x:formula2>120</x:formula2>
    </x:dataValidation>
    <x:dataValidation type="whole" operator="between" sqref="F37">
      <x:formula1>1</x:formula1>
      <x:formula2>120</x:formula2>
    </x:dataValidation>
    <x:dataValidation type="whole" operator="between" sqref="F38">
      <x:formula1>1</x:formula1>
      <x:formula2>120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4" ySplit="7" topLeftCell="E8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7" hidden="0" customWidth="1"/>
    <x:col min="4" max="4" width="13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4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24" customHeight="1">
      <x:c r="A2" s="2"/>
      <x:c r="B2" s="2"/>
      <x:c r="C2" s="3" t="str">
        <x:v>24个月现金预算测算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4" customHeight="1">
      <x:c r="A3" s="2"/>
      <x:c r="B3" s="2"/>
      <x:c r="C3" s="6" t="str">
        <x:v>USD；负现金表示需要补足的资金，不表示可自动获得借款。</x:v>
      </x:c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24" customHeight="1">
      <x:c r="A5" s="2"/>
      <x:c r="B5" s="2"/>
      <x:c r="C5" s="2" t="str">
        <x:v>当前情景</x:v>
      </x:c>
      <x:c r="D5" s="2"/>
      <x:c r="E5" s="32" t="str">
        <x:f>'现金假设'!E6</x:f>
        <x:v>目标融资计入首期</x:v>
      </x:c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 ht="28" customHeight="1">
      <x:c r="A7" s="2"/>
      <x:c r="B7" s="2"/>
      <x:c r="C7" s="25" t="str">
        <x:v>序号</x:v>
      </x:c>
      <x:c r="D7" s="25" t="str">
        <x:v>月份</x:v>
      </x:c>
      <x:c r="E7" s="25" t="str">
        <x:v>期初资金</x:v>
      </x:c>
      <x:c r="F7" s="25" t="str">
        <x:v>新增融资</x:v>
      </x:c>
      <x:c r="G7" s="25" t="str">
        <x:v>研发支出</x:v>
      </x:c>
      <x:c r="H7" s="25" t="str">
        <x:v>发行支出</x:v>
      </x:c>
      <x:c r="I7" s="25" t="str">
        <x:v>Token支出</x:v>
      </x:c>
      <x:c r="J7" s="25" t="str">
        <x:v>支出合计</x:v>
      </x:c>
      <x:c r="K7" s="25" t="str">
        <x:v>期末现金</x:v>
      </x:c>
      <x:c r="L7" s="25" t="str">
        <x:v>储备下限</x:v>
      </x:c>
      <x:c r="M7" s="25" t="str">
        <x:v>高于储备</x:v>
      </x:c>
      <x:c r="N7" s="25" t="str">
        <x:v>资金缺口</x:v>
      </x:c>
      <x:c r="O7" s="25" t="str">
        <x:v>图表月份</x:v>
      </x:c>
    </x:row>
    <x:row r="8" ht="24" customHeight="1">
      <x:c r="A8" s="2"/>
      <x:c r="B8" s="2"/>
      <x:c r="C8" s="2" t="n">
        <x:v>1</x:v>
      </x:c>
      <x:c r="D8" s="34" t="n">
        <x:f>EDATE('现金假设'!$E$7,C8-1)</x:f>
        <x:v>46327</x:v>
      </x:c>
      <x:c r="E8" s="35" t="n">
        <x:f>'现金假设'!$E$12</x:f>
        <x:v>4000000</x:v>
      </x:c>
      <x:c r="F8" s="35" t="n">
        <x:f>IF(D8='现金假设'!$E$23,'现金假设'!$E$18,0)</x:f>
        <x:v>5000000</x:v>
      </x:c>
      <x:c r="G8" s="35" t="n">
        <x:f>IF('现金假设'!$J$36="已填",IF(AND(D8&gt;='现金假设'!$G$36,D8&lt;EDATE('现金假设'!$G$36,'现金假设'!$F$36)),'现金假设'!$E$36/'现金假设'!$F$36*'现金假设'!$E$28,0),NA())</x:f>
        <x:v>187500</x:v>
      </x:c>
      <x:c r="H8" s="35" t="n">
        <x:f>IF('现金假设'!$J$37="已填",IF(AND(D8&gt;='现金假设'!$G$37,D8&lt;EDATE('现金假设'!$G$37,'现金假设'!$F$37)),'现金假设'!$E$37/'现金假设'!$F$37*'现金假设'!$E$28,0),NA())</x:f>
        <x:v>0</x:v>
      </x:c>
      <x:c r="I8" s="35" t="n">
        <x:f>IF('现金假设'!$J$38="已填",IF(AND(D8&gt;='现金假设'!$G$38,D8&lt;EDATE('现金假设'!$G$38,'现金假设'!$F$38)),'现金假设'!$E$38/'现金假设'!$F$38*'现金假设'!$E$28,0),NA())</x:f>
        <x:v>0</x:v>
      </x:c>
      <x:c r="J8" s="33" t="n">
        <x:f>SUM(G8:I8)</x:f>
        <x:v>187500</x:v>
      </x:c>
      <x:c r="K8" s="37" t="n">
        <x:f>SUM(E8:F8)-J8</x:f>
        <x:v>8812500</x:v>
      </x:c>
      <x:c r="L8" s="35" t="n">
        <x:f>'现金假设'!$E$39</x:f>
        <x:v>1000000</x:v>
      </x:c>
      <x:c r="M8" s="33" t="n">
        <x:f>K8-L8</x:f>
        <x:v>7812500</x:v>
      </x:c>
      <x:c r="N8" s="33" t="n">
        <x:f>MAX(-K8,0)</x:f>
        <x:v>0</x:v>
      </x:c>
      <x:c r="O8" s="2" t="str">
        <x:f>TEXT(D8,"yyyy-mm")</x:f>
        <x:v>2026-11</x:v>
      </x:c>
    </x:row>
    <x:row r="9" ht="24" customHeight="1">
      <x:c r="A9" s="2"/>
      <x:c r="B9" s="2"/>
      <x:c r="C9" s="2" t="n">
        <x:v>2</x:v>
      </x:c>
      <x:c r="D9" s="34" t="n">
        <x:f>EDATE('现金假设'!$E$7,C9-1)</x:f>
        <x:v>46357</x:v>
      </x:c>
      <x:c r="E9" s="35" t="n">
        <x:f>K8</x:f>
        <x:v>8812500</x:v>
      </x:c>
      <x:c r="F9" s="35" t="n">
        <x:f>IF(D9='现金假设'!$E$23,'现金假设'!$E$18,0)</x:f>
        <x:v>0</x:v>
      </x:c>
      <x:c r="G9" s="35" t="n">
        <x:f>IF('现金假设'!$J$36="已填",IF(AND(D9&gt;='现金假设'!$G$36,D9&lt;EDATE('现金假设'!$G$36,'现金假设'!$F$36)),'现金假设'!$E$36/'现金假设'!$F$36*'现金假设'!$E$28,0),NA())</x:f>
        <x:v>187500</x:v>
      </x:c>
      <x:c r="H9" s="35" t="n">
        <x:f>IF('现金假设'!$J$37="已填",IF(AND(D9&gt;='现金假设'!$G$37,D9&lt;EDATE('现金假设'!$G$37,'现金假设'!$F$37)),'现金假设'!$E$37/'现金假设'!$F$37*'现金假设'!$E$28,0),NA())</x:f>
        <x:v>0</x:v>
      </x:c>
      <x:c r="I9" s="35" t="n">
        <x:f>IF('现金假设'!$J$38="已填",IF(AND(D9&gt;='现金假设'!$G$38,D9&lt;EDATE('现金假设'!$G$38,'现金假设'!$F$38)),'现金假设'!$E$38/'现金假设'!$F$38*'现金假设'!$E$28,0),NA())</x:f>
        <x:v>0</x:v>
      </x:c>
      <x:c r="J9" s="33" t="n">
        <x:f>SUM(G9:I9)</x:f>
        <x:v>187500</x:v>
      </x:c>
      <x:c r="K9" s="37" t="n">
        <x:f>SUM(E9:F9)-J9</x:f>
        <x:v>8625000</x:v>
      </x:c>
      <x:c r="L9" s="35" t="n">
        <x:f>'现金假设'!$E$39</x:f>
        <x:v>1000000</x:v>
      </x:c>
      <x:c r="M9" s="33" t="n">
        <x:f>K9-L9</x:f>
        <x:v>7625000</x:v>
      </x:c>
      <x:c r="N9" s="33" t="n">
        <x:f>MAX(-K9,0)</x:f>
        <x:v>0</x:v>
      </x:c>
      <x:c r="O9" s="2" t="str">
        <x:f>TEXT(D9,"yyyy-mm")</x:f>
        <x:v>2026-12</x:v>
      </x:c>
    </x:row>
    <x:row r="10" ht="24" customHeight="1">
      <x:c r="A10" s="2"/>
      <x:c r="B10" s="2"/>
      <x:c r="C10" s="2" t="n">
        <x:v>3</x:v>
      </x:c>
      <x:c r="D10" s="34" t="n">
        <x:f>EDATE('现金假设'!$E$7,C10-1)</x:f>
        <x:v>46388</x:v>
      </x:c>
      <x:c r="E10" s="35" t="n">
        <x:f>K9</x:f>
        <x:v>8625000</x:v>
      </x:c>
      <x:c r="F10" s="35" t="n">
        <x:f>IF(D10='现金假设'!$E$23,'现金假设'!$E$18,0)</x:f>
        <x:v>0</x:v>
      </x:c>
      <x:c r="G10" s="35" t="n">
        <x:f>IF('现金假设'!$J$36="已填",IF(AND(D10&gt;='现金假设'!$G$36,D10&lt;EDATE('现金假设'!$G$36,'现金假设'!$F$36)),'现金假设'!$E$36/'现金假设'!$F$36*'现金假设'!$E$28,0),NA())</x:f>
        <x:v>187500</x:v>
      </x:c>
      <x:c r="H10" s="35" t="n">
        <x:f>IF('现金假设'!$J$37="已填",IF(AND(D10&gt;='现金假设'!$G$37,D10&lt;EDATE('现金假设'!$G$37,'现金假设'!$F$37)),'现金假设'!$E$37/'现金假设'!$F$37*'现金假设'!$E$28,0),NA())</x:f>
        <x:v>0</x:v>
      </x:c>
      <x:c r="I10" s="35" t="n">
        <x:f>IF('现金假设'!$J$38="已填",IF(AND(D10&gt;='现金假设'!$G$38,D10&lt;EDATE('现金假设'!$G$38,'现金假设'!$F$38)),'现金假设'!$E$38/'现金假设'!$F$38*'现金假设'!$E$28,0),NA())</x:f>
        <x:v>0</x:v>
      </x:c>
      <x:c r="J10" s="33" t="n">
        <x:f>SUM(G10:I10)</x:f>
        <x:v>187500</x:v>
      </x:c>
      <x:c r="K10" s="37" t="n">
        <x:f>SUM(E10:F10)-J10</x:f>
        <x:v>8437500</x:v>
      </x:c>
      <x:c r="L10" s="35" t="n">
        <x:f>'现金假设'!$E$39</x:f>
        <x:v>1000000</x:v>
      </x:c>
      <x:c r="M10" s="33" t="n">
        <x:f>K10-L10</x:f>
        <x:v>7437500</x:v>
      </x:c>
      <x:c r="N10" s="33" t="n">
        <x:f>MAX(-K10,0)</x:f>
        <x:v>0</x:v>
      </x:c>
      <x:c r="O10" s="2" t="str">
        <x:f>TEXT(D10,"yyyy-mm")</x:f>
        <x:v>2027-01</x:v>
      </x:c>
    </x:row>
    <x:row r="11" ht="24" customHeight="1">
      <x:c r="A11" s="2"/>
      <x:c r="B11" s="2"/>
      <x:c r="C11" s="2" t="n">
        <x:v>4</x:v>
      </x:c>
      <x:c r="D11" s="34" t="n">
        <x:f>EDATE('现金假设'!$E$7,C11-1)</x:f>
        <x:v>46419</x:v>
      </x:c>
      <x:c r="E11" s="35" t="n">
        <x:f>K10</x:f>
        <x:v>8437500</x:v>
      </x:c>
      <x:c r="F11" s="35" t="n">
        <x:f>IF(D11='现金假设'!$E$23,'现金假设'!$E$18,0)</x:f>
        <x:v>0</x:v>
      </x:c>
      <x:c r="G11" s="35" t="n">
        <x:f>IF('现金假设'!$J$36="已填",IF(AND(D11&gt;='现金假设'!$G$36,D11&lt;EDATE('现金假设'!$G$36,'现金假设'!$F$36)),'现金假设'!$E$36/'现金假设'!$F$36*'现金假设'!$E$28,0),NA())</x:f>
        <x:v>187500</x:v>
      </x:c>
      <x:c r="H11" s="35" t="n">
        <x:f>IF('现金假设'!$J$37="已填",IF(AND(D11&gt;='现金假设'!$G$37,D11&lt;EDATE('现金假设'!$G$37,'现金假设'!$F$37)),'现金假设'!$E$37/'现金假设'!$F$37*'现金假设'!$E$28,0),NA())</x:f>
        <x:v>0</x:v>
      </x:c>
      <x:c r="I11" s="35" t="n">
        <x:f>IF('现金假设'!$J$38="已填",IF(AND(D11&gt;='现金假设'!$G$38,D11&lt;EDATE('现金假设'!$G$38,'现金假设'!$F$38)),'现金假设'!$E$38/'现金假设'!$F$38*'现金假设'!$E$28,0),NA())</x:f>
        <x:v>0</x:v>
      </x:c>
      <x:c r="J11" s="33" t="n">
        <x:f>SUM(G11:I11)</x:f>
        <x:v>187500</x:v>
      </x:c>
      <x:c r="K11" s="37" t="n">
        <x:f>SUM(E11:F11)-J11</x:f>
        <x:v>8250000</x:v>
      </x:c>
      <x:c r="L11" s="35" t="n">
        <x:f>'现金假设'!$E$39</x:f>
        <x:v>1000000</x:v>
      </x:c>
      <x:c r="M11" s="33" t="n">
        <x:f>K11-L11</x:f>
        <x:v>7250000</x:v>
      </x:c>
      <x:c r="N11" s="33" t="n">
        <x:f>MAX(-K11,0)</x:f>
        <x:v>0</x:v>
      </x:c>
      <x:c r="O11" s="2" t="str">
        <x:f>TEXT(D11,"yyyy-mm")</x:f>
        <x:v>2027-02</x:v>
      </x:c>
    </x:row>
    <x:row r="12" ht="24" customHeight="1">
      <x:c r="A12" s="2"/>
      <x:c r="B12" s="2"/>
      <x:c r="C12" s="2" t="n">
        <x:v>5</x:v>
      </x:c>
      <x:c r="D12" s="34" t="n">
        <x:f>EDATE('现金假设'!$E$7,C12-1)</x:f>
        <x:v>46447</x:v>
      </x:c>
      <x:c r="E12" s="35" t="n">
        <x:f>K11</x:f>
        <x:v>8250000</x:v>
      </x:c>
      <x:c r="F12" s="35" t="n">
        <x:f>IF(D12='现金假设'!$E$23,'现金假设'!$E$18,0)</x:f>
        <x:v>0</x:v>
      </x:c>
      <x:c r="G12" s="35" t="n">
        <x:f>IF('现金假设'!$J$36="已填",IF(AND(D12&gt;='现金假设'!$G$36,D12&lt;EDATE('现金假设'!$G$36,'现金假设'!$F$36)),'现金假设'!$E$36/'现金假设'!$F$36*'现金假设'!$E$28,0),NA())</x:f>
        <x:v>187500</x:v>
      </x:c>
      <x:c r="H12" s="35" t="n">
        <x:f>IF('现金假设'!$J$37="已填",IF(AND(D12&gt;='现金假设'!$G$37,D12&lt;EDATE('现金假设'!$G$37,'现金假设'!$F$37)),'现金假设'!$E$37/'现金假设'!$F$37*'现金假设'!$E$28,0),NA())</x:f>
        <x:v>75000</x:v>
      </x:c>
      <x:c r="I12" s="35" t="n">
        <x:f>IF('现金假设'!$J$38="已填",IF(AND(D12&gt;='现金假设'!$G$38,D12&lt;EDATE('现金假设'!$G$38,'现金假设'!$F$38)),'现金假设'!$E$38/'现金假设'!$F$38*'现金假设'!$E$28,0),NA())</x:f>
        <x:v>0</x:v>
      </x:c>
      <x:c r="J12" s="33" t="n">
        <x:f>SUM(G12:I12)</x:f>
        <x:v>262500</x:v>
      </x:c>
      <x:c r="K12" s="37" t="n">
        <x:f>SUM(E12:F12)-J12</x:f>
        <x:v>7987500</x:v>
      </x:c>
      <x:c r="L12" s="35" t="n">
        <x:f>'现金假设'!$E$39</x:f>
        <x:v>1000000</x:v>
      </x:c>
      <x:c r="M12" s="33" t="n">
        <x:f>K12-L12</x:f>
        <x:v>6987500</x:v>
      </x:c>
      <x:c r="N12" s="33" t="n">
        <x:f>MAX(-K12,0)</x:f>
        <x:v>0</x:v>
      </x:c>
      <x:c r="O12" s="2" t="str">
        <x:f>TEXT(D12,"yyyy-mm")</x:f>
        <x:v>2027-03</x:v>
      </x:c>
    </x:row>
    <x:row r="13" ht="24" customHeight="1">
      <x:c r="A13" s="2"/>
      <x:c r="B13" s="2"/>
      <x:c r="C13" s="2" t="n">
        <x:v>6</x:v>
      </x:c>
      <x:c r="D13" s="34" t="n">
        <x:f>EDATE('现金假设'!$E$7,C13-1)</x:f>
        <x:v>46478</x:v>
      </x:c>
      <x:c r="E13" s="35" t="n">
        <x:f>K12</x:f>
        <x:v>7987500</x:v>
      </x:c>
      <x:c r="F13" s="35" t="n">
        <x:f>IF(D13='现金假设'!$E$23,'现金假设'!$E$18,0)</x:f>
        <x:v>0</x:v>
      </x:c>
      <x:c r="G13" s="35" t="n">
        <x:f>IF('现金假设'!$J$36="已填",IF(AND(D13&gt;='现金假设'!$G$36,D13&lt;EDATE('现金假设'!$G$36,'现金假设'!$F$36)),'现金假设'!$E$36/'现金假设'!$F$36*'现金假设'!$E$28,0),NA())</x:f>
        <x:v>187500</x:v>
      </x:c>
      <x:c r="H13" s="35" t="n">
        <x:f>IF('现金假设'!$J$37="已填",IF(AND(D13&gt;='现金假设'!$G$37,D13&lt;EDATE('现金假设'!$G$37,'现金假设'!$F$37)),'现金假设'!$E$37/'现金假设'!$F$37*'现金假设'!$E$28,0),NA())</x:f>
        <x:v>75000</x:v>
      </x:c>
      <x:c r="I13" s="35" t="n">
        <x:f>IF('现金假设'!$J$38="已填",IF(AND(D13&gt;='现金假设'!$G$38,D13&lt;EDATE('现金假设'!$G$38,'现金假设'!$F$38)),'现金假设'!$E$38/'现金假设'!$F$38*'现金假设'!$E$28,0),NA())</x:f>
        <x:v>0</x:v>
      </x:c>
      <x:c r="J13" s="33" t="n">
        <x:f>SUM(G13:I13)</x:f>
        <x:v>262500</x:v>
      </x:c>
      <x:c r="K13" s="37" t="n">
        <x:f>SUM(E13:F13)-J13</x:f>
        <x:v>7725000</x:v>
      </x:c>
      <x:c r="L13" s="35" t="n">
        <x:f>'现金假设'!$E$39</x:f>
        <x:v>1000000</x:v>
      </x:c>
      <x:c r="M13" s="33" t="n">
        <x:f>K13-L13</x:f>
        <x:v>6725000</x:v>
      </x:c>
      <x:c r="N13" s="33" t="n">
        <x:f>MAX(-K13,0)</x:f>
        <x:v>0</x:v>
      </x:c>
      <x:c r="O13" s="2" t="str">
        <x:f>TEXT(D13,"yyyy-mm")</x:f>
        <x:v>2027-04</x:v>
      </x:c>
    </x:row>
    <x:row r="14" ht="24" customHeight="1">
      <x:c r="A14" s="2"/>
      <x:c r="B14" s="2"/>
      <x:c r="C14" s="2" t="n">
        <x:v>7</x:v>
      </x:c>
      <x:c r="D14" s="34" t="n">
        <x:f>EDATE('现金假设'!$E$7,C14-1)</x:f>
        <x:v>46508</x:v>
      </x:c>
      <x:c r="E14" s="35" t="n">
        <x:f>K13</x:f>
        <x:v>7725000</x:v>
      </x:c>
      <x:c r="F14" s="35" t="n">
        <x:f>IF(D14='现金假设'!$E$23,'现金假设'!$E$18,0)</x:f>
        <x:v>0</x:v>
      </x:c>
      <x:c r="G14" s="35" t="n">
        <x:f>IF('现金假设'!$J$36="已填",IF(AND(D14&gt;='现金假设'!$G$36,D14&lt;EDATE('现金假设'!$G$36,'现金假设'!$F$36)),'现金假设'!$E$36/'现金假设'!$F$36*'现金假设'!$E$28,0),NA())</x:f>
        <x:v>187500</x:v>
      </x:c>
      <x:c r="H14" s="35" t="n">
        <x:f>IF('现金假设'!$J$37="已填",IF(AND(D14&gt;='现金假设'!$G$37,D14&lt;EDATE('现金假设'!$G$37,'现金假设'!$F$37)),'现金假设'!$E$37/'现金假设'!$F$37*'现金假设'!$E$28,0),NA())</x:f>
        <x:v>75000</x:v>
      </x:c>
      <x:c r="I14" s="35" t="n">
        <x:f>IF('现金假设'!$J$38="已填",IF(AND(D14&gt;='现金假设'!$G$38,D14&lt;EDATE('现金假设'!$G$38,'现金假设'!$F$38)),'现金假设'!$E$38/'现金假设'!$F$38*'现金假设'!$E$28,0),NA())</x:f>
        <x:v>111111.11111111111</x:v>
      </x:c>
      <x:c r="J14" s="33" t="n">
        <x:f>SUM(G14:I14)</x:f>
        <x:v>373611.1111111111</x:v>
      </x:c>
      <x:c r="K14" s="37" t="n">
        <x:f>SUM(E14:F14)-J14</x:f>
        <x:v>7351388.888888889</x:v>
      </x:c>
      <x:c r="L14" s="35" t="n">
        <x:f>'现金假设'!$E$39</x:f>
        <x:v>1000000</x:v>
      </x:c>
      <x:c r="M14" s="33" t="n">
        <x:f>K14-L14</x:f>
        <x:v>6351388.888888889</x:v>
      </x:c>
      <x:c r="N14" s="33" t="n">
        <x:f>MAX(-K14,0)</x:f>
        <x:v>0</x:v>
      </x:c>
      <x:c r="O14" s="2" t="str">
        <x:f>TEXT(D14,"yyyy-mm")</x:f>
        <x:v>2027-05</x:v>
      </x:c>
    </x:row>
    <x:row r="15" ht="24" customHeight="1">
      <x:c r="A15" s="2"/>
      <x:c r="B15" s="2"/>
      <x:c r="C15" s="2" t="n">
        <x:v>8</x:v>
      </x:c>
      <x:c r="D15" s="34" t="n">
        <x:f>EDATE('现金假设'!$E$7,C15-1)</x:f>
        <x:v>46539</x:v>
      </x:c>
      <x:c r="E15" s="35" t="n">
        <x:f>K14</x:f>
        <x:v>7351388.888888889</x:v>
      </x:c>
      <x:c r="F15" s="35" t="n">
        <x:f>IF(D15='现金假设'!$E$23,'现金假设'!$E$18,0)</x:f>
        <x:v>0</x:v>
      </x:c>
      <x:c r="G15" s="35" t="n">
        <x:f>IF('现金假设'!$J$36="已填",IF(AND(D15&gt;='现金假设'!$G$36,D15&lt;EDATE('现金假设'!$G$36,'现金假设'!$F$36)),'现金假设'!$E$36/'现金假设'!$F$36*'现金假设'!$E$28,0),NA())</x:f>
        <x:v>187500</x:v>
      </x:c>
      <x:c r="H15" s="35" t="n">
        <x:f>IF('现金假设'!$J$37="已填",IF(AND(D15&gt;='现金假设'!$G$37,D15&lt;EDATE('现金假设'!$G$37,'现金假设'!$F$37)),'现金假设'!$E$37/'现金假设'!$F$37*'现金假设'!$E$28,0),NA())</x:f>
        <x:v>75000</x:v>
      </x:c>
      <x:c r="I15" s="35" t="n">
        <x:f>IF('现金假设'!$J$38="已填",IF(AND(D15&gt;='现金假设'!$G$38,D15&lt;EDATE('现金假设'!$G$38,'现金假设'!$F$38)),'现金假设'!$E$38/'现金假设'!$F$38*'现金假设'!$E$28,0),NA())</x:f>
        <x:v>111111.11111111111</x:v>
      </x:c>
      <x:c r="J15" s="33" t="n">
        <x:f>SUM(G15:I15)</x:f>
        <x:v>373611.1111111111</x:v>
      </x:c>
      <x:c r="K15" s="37" t="n">
        <x:f>SUM(E15:F15)-J15</x:f>
        <x:v>6977777.777777778</x:v>
      </x:c>
      <x:c r="L15" s="35" t="n">
        <x:f>'现金假设'!$E$39</x:f>
        <x:v>1000000</x:v>
      </x:c>
      <x:c r="M15" s="33" t="n">
        <x:f>K15-L15</x:f>
        <x:v>5977777.777777778</x:v>
      </x:c>
      <x:c r="N15" s="33" t="n">
        <x:f>MAX(-K15,0)</x:f>
        <x:v>0</x:v>
      </x:c>
      <x:c r="O15" s="2" t="str">
        <x:f>TEXT(D15,"yyyy-mm")</x:f>
        <x:v>2027-06</x:v>
      </x:c>
    </x:row>
    <x:row r="16" ht="24" customHeight="1">
      <x:c r="A16" s="2"/>
      <x:c r="B16" s="2"/>
      <x:c r="C16" s="2" t="n">
        <x:v>9</x:v>
      </x:c>
      <x:c r="D16" s="34" t="n">
        <x:f>EDATE('现金假设'!$E$7,C16-1)</x:f>
        <x:v>46569</x:v>
      </x:c>
      <x:c r="E16" s="35" t="n">
        <x:f>K15</x:f>
        <x:v>6977777.777777778</x:v>
      </x:c>
      <x:c r="F16" s="35" t="n">
        <x:f>IF(D16='现金假设'!$E$23,'现金假设'!$E$18,0)</x:f>
        <x:v>0</x:v>
      </x:c>
      <x:c r="G16" s="35" t="n">
        <x:f>IF('现金假设'!$J$36="已填",IF(AND(D16&gt;='现金假设'!$G$36,D16&lt;EDATE('现金假设'!$G$36,'现金假设'!$F$36)),'现金假设'!$E$36/'现金假设'!$F$36*'现金假设'!$E$28,0),NA())</x:f>
        <x:v>187500</x:v>
      </x:c>
      <x:c r="H16" s="35" t="n">
        <x:f>IF('现金假设'!$J$37="已填",IF(AND(D16&gt;='现金假设'!$G$37,D16&lt;EDATE('现金假设'!$G$37,'现金假设'!$F$37)),'现金假设'!$E$37/'现金假设'!$F$37*'现金假设'!$E$28,0),NA())</x:f>
        <x:v>75000</x:v>
      </x:c>
      <x:c r="I16" s="35" t="n">
        <x:f>IF('现金假设'!$J$38="已填",IF(AND(D16&gt;='现金假设'!$G$38,D16&lt;EDATE('现金假设'!$G$38,'现金假设'!$F$38)),'现金假设'!$E$38/'现金假设'!$F$38*'现金假设'!$E$28,0),NA())</x:f>
        <x:v>111111.11111111111</x:v>
      </x:c>
      <x:c r="J16" s="33" t="n">
        <x:f>SUM(G16:I16)</x:f>
        <x:v>373611.1111111111</x:v>
      </x:c>
      <x:c r="K16" s="37" t="n">
        <x:f>SUM(E16:F16)-J16</x:f>
        <x:v>6604166.666666667</x:v>
      </x:c>
      <x:c r="L16" s="35" t="n">
        <x:f>'现金假设'!$E$39</x:f>
        <x:v>1000000</x:v>
      </x:c>
      <x:c r="M16" s="33" t="n">
        <x:f>K16-L16</x:f>
        <x:v>5604166.666666667</x:v>
      </x:c>
      <x:c r="N16" s="33" t="n">
        <x:f>MAX(-K16,0)</x:f>
        <x:v>0</x:v>
      </x:c>
      <x:c r="O16" s="2" t="str">
        <x:f>TEXT(D16,"yyyy-mm")</x:f>
        <x:v>2027-07</x:v>
      </x:c>
    </x:row>
    <x:row r="17" ht="24" customHeight="1">
      <x:c r="A17" s="2"/>
      <x:c r="B17" s="2"/>
      <x:c r="C17" s="2" t="n">
        <x:v>10</x:v>
      </x:c>
      <x:c r="D17" s="34" t="n">
        <x:f>EDATE('现金假设'!$E$7,C17-1)</x:f>
        <x:v>46600</x:v>
      </x:c>
      <x:c r="E17" s="35" t="n">
        <x:f>K16</x:f>
        <x:v>6604166.666666667</x:v>
      </x:c>
      <x:c r="F17" s="35" t="n">
        <x:f>IF(D17='现金假设'!$E$23,'现金假设'!$E$18,0)</x:f>
        <x:v>0</x:v>
      </x:c>
      <x:c r="G17" s="35" t="n">
        <x:f>IF('现金假设'!$J$36="已填",IF(AND(D17&gt;='现金假设'!$G$36,D17&lt;EDATE('现金假设'!$G$36,'现金假设'!$F$36)),'现金假设'!$E$36/'现金假设'!$F$36*'现金假设'!$E$28,0),NA())</x:f>
        <x:v>187500</x:v>
      </x:c>
      <x:c r="H17" s="35" t="n">
        <x:f>IF('现金假设'!$J$37="已填",IF(AND(D17&gt;='现金假设'!$G$37,D17&lt;EDATE('现金假设'!$G$37,'现金假设'!$F$37)),'现金假设'!$E$37/'现金假设'!$F$37*'现金假设'!$E$28,0),NA())</x:f>
        <x:v>75000</x:v>
      </x:c>
      <x:c r="I17" s="35" t="n">
        <x:f>IF('现金假设'!$J$38="已填",IF(AND(D17&gt;='现金假设'!$G$38,D17&lt;EDATE('现金假设'!$G$38,'现金假设'!$F$38)),'现金假设'!$E$38/'现金假设'!$F$38*'现金假设'!$E$28,0),NA())</x:f>
        <x:v>111111.11111111111</x:v>
      </x:c>
      <x:c r="J17" s="33" t="n">
        <x:f>SUM(G17:I17)</x:f>
        <x:v>373611.1111111111</x:v>
      </x:c>
      <x:c r="K17" s="37" t="n">
        <x:f>SUM(E17:F17)-J17</x:f>
        <x:v>6230555.555555556</x:v>
      </x:c>
      <x:c r="L17" s="35" t="n">
        <x:f>'现金假设'!$E$39</x:f>
        <x:v>1000000</x:v>
      </x:c>
      <x:c r="M17" s="33" t="n">
        <x:f>K17-L17</x:f>
        <x:v>5230555.555555556</x:v>
      </x:c>
      <x:c r="N17" s="33" t="n">
        <x:f>MAX(-K17,0)</x:f>
        <x:v>0</x:v>
      </x:c>
      <x:c r="O17" s="2" t="str">
        <x:f>TEXT(D17,"yyyy-mm")</x:f>
        <x:v>2027-08</x:v>
      </x:c>
    </x:row>
    <x:row r="18" ht="24" customHeight="1">
      <x:c r="A18" s="2"/>
      <x:c r="B18" s="2"/>
      <x:c r="C18" s="2" t="n">
        <x:v>11</x:v>
      </x:c>
      <x:c r="D18" s="34" t="n">
        <x:f>EDATE('现金假设'!$E$7,C18-1)</x:f>
        <x:v>46631</x:v>
      </x:c>
      <x:c r="E18" s="35" t="n">
        <x:f>K17</x:f>
        <x:v>6230555.555555556</x:v>
      </x:c>
      <x:c r="F18" s="35" t="n">
        <x:f>IF(D18='现金假设'!$E$23,'现金假设'!$E$18,0)</x:f>
        <x:v>0</x:v>
      </x:c>
      <x:c r="G18" s="35" t="n">
        <x:f>IF('现金假设'!$J$36="已填",IF(AND(D18&gt;='现金假设'!$G$36,D18&lt;EDATE('现金假设'!$G$36,'现金假设'!$F$36)),'现金假设'!$E$36/'现金假设'!$F$36*'现金假设'!$E$28,0),NA())</x:f>
        <x:v>187500</x:v>
      </x:c>
      <x:c r="H18" s="35" t="n">
        <x:f>IF('现金假设'!$J$37="已填",IF(AND(D18&gt;='现金假设'!$G$37,D18&lt;EDATE('现金假设'!$G$37,'现金假设'!$F$37)),'现金假设'!$E$37/'现金假设'!$F$37*'现金假设'!$E$28,0),NA())</x:f>
        <x:v>75000</x:v>
      </x:c>
      <x:c r="I18" s="35" t="n">
        <x:f>IF('现金假设'!$J$38="已填",IF(AND(D18&gt;='现金假设'!$G$38,D18&lt;EDATE('现金假设'!$G$38,'现金假设'!$F$38)),'现金假设'!$E$38/'现金假设'!$F$38*'现金假设'!$E$28,0),NA())</x:f>
        <x:v>111111.11111111111</x:v>
      </x:c>
      <x:c r="J18" s="33" t="n">
        <x:f>SUM(G18:I18)</x:f>
        <x:v>373611.1111111111</x:v>
      </x:c>
      <x:c r="K18" s="37" t="n">
        <x:f>SUM(E18:F18)-J18</x:f>
        <x:v>5856944.444444445</x:v>
      </x:c>
      <x:c r="L18" s="35" t="n">
        <x:f>'现金假设'!$E$39</x:f>
        <x:v>1000000</x:v>
      </x:c>
      <x:c r="M18" s="33" t="n">
        <x:f>K18-L18</x:f>
        <x:v>4856944.444444445</x:v>
      </x:c>
      <x:c r="N18" s="33" t="n">
        <x:f>MAX(-K18,0)</x:f>
        <x:v>0</x:v>
      </x:c>
      <x:c r="O18" s="2" t="str">
        <x:f>TEXT(D18,"yyyy-mm")</x:f>
        <x:v>2027-09</x:v>
      </x:c>
    </x:row>
    <x:row r="19" ht="24" customHeight="1">
      <x:c r="A19" s="2"/>
      <x:c r="B19" s="2"/>
      <x:c r="C19" s="2" t="n">
        <x:v>12</x:v>
      </x:c>
      <x:c r="D19" s="34" t="n">
        <x:f>EDATE('现金假设'!$E$7,C19-1)</x:f>
        <x:v>46661</x:v>
      </x:c>
      <x:c r="E19" s="35" t="n">
        <x:f>K18</x:f>
        <x:v>5856944.444444445</x:v>
      </x:c>
      <x:c r="F19" s="35" t="n">
        <x:f>IF(D19='现金假设'!$E$23,'现金假设'!$E$18,0)</x:f>
        <x:v>0</x:v>
      </x:c>
      <x:c r="G19" s="35" t="n">
        <x:f>IF('现金假设'!$J$36="已填",IF(AND(D19&gt;='现金假设'!$G$36,D19&lt;EDATE('现金假设'!$G$36,'现金假设'!$F$36)),'现金假设'!$E$36/'现金假设'!$F$36*'现金假设'!$E$28,0),NA())</x:f>
        <x:v>187500</x:v>
      </x:c>
      <x:c r="H19" s="35" t="n">
        <x:f>IF('现金假设'!$J$37="已填",IF(AND(D19&gt;='现金假设'!$G$37,D19&lt;EDATE('现金假设'!$G$37,'现金假设'!$F$37)),'现金假设'!$E$37/'现金假设'!$F$37*'现金假设'!$E$28,0),NA())</x:f>
        <x:v>75000</x:v>
      </x:c>
      <x:c r="I19" s="35" t="n">
        <x:f>IF('现金假设'!$J$38="已填",IF(AND(D19&gt;='现金假设'!$G$38,D19&lt;EDATE('现金假设'!$G$38,'现金假设'!$F$38)),'现金假设'!$E$38/'现金假设'!$F$38*'现金假设'!$E$28,0),NA())</x:f>
        <x:v>111111.11111111111</x:v>
      </x:c>
      <x:c r="J19" s="33" t="n">
        <x:f>SUM(G19:I19)</x:f>
        <x:v>373611.1111111111</x:v>
      </x:c>
      <x:c r="K19" s="37" t="n">
        <x:f>SUM(E19:F19)-J19</x:f>
        <x:v>5483333.333333334</x:v>
      </x:c>
      <x:c r="L19" s="35" t="n">
        <x:f>'现金假设'!$E$39</x:f>
        <x:v>1000000</x:v>
      </x:c>
      <x:c r="M19" s="33" t="n">
        <x:f>K19-L19</x:f>
        <x:v>4483333.333333334</x:v>
      </x:c>
      <x:c r="N19" s="33" t="n">
        <x:f>MAX(-K19,0)</x:f>
        <x:v>0</x:v>
      </x:c>
      <x:c r="O19" s="2" t="str">
        <x:f>TEXT(D19,"yyyy-mm")</x:f>
        <x:v>2027-10</x:v>
      </x:c>
    </x:row>
    <x:row r="20" ht="24" customHeight="1">
      <x:c r="A20" s="2"/>
      <x:c r="B20" s="2"/>
      <x:c r="C20" s="2" t="n">
        <x:v>13</x:v>
      </x:c>
      <x:c r="D20" s="34" t="n">
        <x:f>EDATE('现金假设'!$E$7,C20-1)</x:f>
        <x:v>46692</x:v>
      </x:c>
      <x:c r="E20" s="35" t="n">
        <x:f>K19</x:f>
        <x:v>5483333.333333334</x:v>
      </x:c>
      <x:c r="F20" s="35" t="n">
        <x:f>IF(D20='现金假设'!$E$23,'现金假设'!$E$18,0)</x:f>
        <x:v>0</x:v>
      </x:c>
      <x:c r="G20" s="35" t="n">
        <x:f>IF('现金假设'!$J$36="已填",IF(AND(D20&gt;='现金假设'!$G$36,D20&lt;EDATE('现金假设'!$G$36,'现金假设'!$F$36)),'现金假设'!$E$36/'现金假设'!$F$36*'现金假设'!$E$28,0),NA())</x:f>
        <x:v>187500</x:v>
      </x:c>
      <x:c r="H20" s="35" t="n">
        <x:f>IF('现金假设'!$J$37="已填",IF(AND(D20&gt;='现金假设'!$G$37,D20&lt;EDATE('现金假设'!$G$37,'现金假设'!$F$37)),'现金假设'!$E$37/'现金假设'!$F$37*'现金假设'!$E$28,0),NA())</x:f>
        <x:v>75000</x:v>
      </x:c>
      <x:c r="I20" s="35" t="n">
        <x:f>IF('现金假设'!$J$38="已填",IF(AND(D20&gt;='现金假设'!$G$38,D20&lt;EDATE('现金假设'!$G$38,'现金假设'!$F$38)),'现金假设'!$E$38/'现金假设'!$F$38*'现金假设'!$E$28,0),NA())</x:f>
        <x:v>111111.11111111111</x:v>
      </x:c>
      <x:c r="J20" s="33" t="n">
        <x:f>SUM(G20:I20)</x:f>
        <x:v>373611.1111111111</x:v>
      </x:c>
      <x:c r="K20" s="37" t="n">
        <x:f>SUM(E20:F20)-J20</x:f>
        <x:v>5109722.222222223</x:v>
      </x:c>
      <x:c r="L20" s="35" t="n">
        <x:f>'现金假设'!$E$39</x:f>
        <x:v>1000000</x:v>
      </x:c>
      <x:c r="M20" s="33" t="n">
        <x:f>K20-L20</x:f>
        <x:v>4109722.222222223</x:v>
      </x:c>
      <x:c r="N20" s="33" t="n">
        <x:f>MAX(-K20,0)</x:f>
        <x:v>0</x:v>
      </x:c>
      <x:c r="O20" s="2" t="str">
        <x:f>TEXT(D20,"yyyy-mm")</x:f>
        <x:v>2027-11</x:v>
      </x:c>
    </x:row>
    <x:row r="21" ht="24" customHeight="1">
      <x:c r="A21" s="2"/>
      <x:c r="B21" s="2"/>
      <x:c r="C21" s="2" t="n">
        <x:v>14</x:v>
      </x:c>
      <x:c r="D21" s="34" t="n">
        <x:f>EDATE('现金假设'!$E$7,C21-1)</x:f>
        <x:v>46722</x:v>
      </x:c>
      <x:c r="E21" s="35" t="n">
        <x:f>K20</x:f>
        <x:v>5109722.222222223</x:v>
      </x:c>
      <x:c r="F21" s="35" t="n">
        <x:f>IF(D21='现金假设'!$E$23,'现金假设'!$E$18,0)</x:f>
        <x:v>0</x:v>
      </x:c>
      <x:c r="G21" s="35" t="n">
        <x:f>IF('现金假设'!$J$36="已填",IF(AND(D21&gt;='现金假设'!$G$36,D21&lt;EDATE('现金假设'!$G$36,'现金假设'!$F$36)),'现金假设'!$E$36/'现金假设'!$F$36*'现金假设'!$E$28,0),NA())</x:f>
        <x:v>187500</x:v>
      </x:c>
      <x:c r="H21" s="35" t="n">
        <x:f>IF('现金假设'!$J$37="已填",IF(AND(D21&gt;='现金假设'!$G$37,D21&lt;EDATE('现金假设'!$G$37,'现金假设'!$F$37)),'现金假设'!$E$37/'现金假设'!$F$37*'现金假设'!$E$28,0),NA())</x:f>
        <x:v>75000</x:v>
      </x:c>
      <x:c r="I21" s="35" t="n">
        <x:f>IF('现金假设'!$J$38="已填",IF(AND(D21&gt;='现金假设'!$G$38,D21&lt;EDATE('现金假设'!$G$38,'现金假设'!$F$38)),'现金假设'!$E$38/'现金假设'!$F$38*'现金假设'!$E$28,0),NA())</x:f>
        <x:v>111111.11111111111</x:v>
      </x:c>
      <x:c r="J21" s="33" t="n">
        <x:f>SUM(G21:I21)</x:f>
        <x:v>373611.1111111111</x:v>
      </x:c>
      <x:c r="K21" s="37" t="n">
        <x:f>SUM(E21:F21)-J21</x:f>
        <x:v>4736111.111111112</x:v>
      </x:c>
      <x:c r="L21" s="35" t="n">
        <x:f>'现金假设'!$E$39</x:f>
        <x:v>1000000</x:v>
      </x:c>
      <x:c r="M21" s="33" t="n">
        <x:f>K21-L21</x:f>
        <x:v>3736111.111111112</x:v>
      </x:c>
      <x:c r="N21" s="33" t="n">
        <x:f>MAX(-K21,0)</x:f>
        <x:v>0</x:v>
      </x:c>
      <x:c r="O21" s="2" t="str">
        <x:f>TEXT(D21,"yyyy-mm")</x:f>
        <x:v>2027-12</x:v>
      </x:c>
    </x:row>
    <x:row r="22" ht="24" customHeight="1">
      <x:c r="A22" s="2"/>
      <x:c r="B22" s="2"/>
      <x:c r="C22" s="2" t="n">
        <x:v>15</x:v>
      </x:c>
      <x:c r="D22" s="34" t="n">
        <x:f>EDATE('现金假设'!$E$7,C22-1)</x:f>
        <x:v>46753</x:v>
      </x:c>
      <x:c r="E22" s="35" t="n">
        <x:f>K21</x:f>
        <x:v>4736111.111111112</x:v>
      </x:c>
      <x:c r="F22" s="35" t="n">
        <x:f>IF(D22='现金假设'!$E$23,'现金假设'!$E$18,0)</x:f>
        <x:v>0</x:v>
      </x:c>
      <x:c r="G22" s="35" t="n">
        <x:f>IF('现金假设'!$J$36="已填",IF(AND(D22&gt;='现金假设'!$G$36,D22&lt;EDATE('现金假设'!$G$36,'现金假设'!$F$36)),'现金假设'!$E$36/'现金假设'!$F$36*'现金假设'!$E$28,0),NA())</x:f>
        <x:v>187500</x:v>
      </x:c>
      <x:c r="H22" s="35" t="n">
        <x:f>IF('现金假设'!$J$37="已填",IF(AND(D22&gt;='现金假设'!$G$37,D22&lt;EDATE('现金假设'!$G$37,'现金假设'!$F$37)),'现金假设'!$E$37/'现金假设'!$F$37*'现金假设'!$E$28,0),NA())</x:f>
        <x:v>75000</x:v>
      </x:c>
      <x:c r="I22" s="35" t="n">
        <x:f>IF('现金假设'!$J$38="已填",IF(AND(D22&gt;='现金假设'!$G$38,D22&lt;EDATE('现金假设'!$G$38,'现金假设'!$F$38)),'现金假设'!$E$38/'现金假设'!$F$38*'现金假设'!$E$28,0),NA())</x:f>
        <x:v>111111.11111111111</x:v>
      </x:c>
      <x:c r="J22" s="33" t="n">
        <x:f>SUM(G22:I22)</x:f>
        <x:v>373611.1111111111</x:v>
      </x:c>
      <x:c r="K22" s="37" t="n">
        <x:f>SUM(E22:F22)-J22</x:f>
        <x:v>4362500.000000001</x:v>
      </x:c>
      <x:c r="L22" s="35" t="n">
        <x:f>'现金假设'!$E$39</x:f>
        <x:v>1000000</x:v>
      </x:c>
      <x:c r="M22" s="33" t="n">
        <x:f>K22-L22</x:f>
        <x:v>3362500.000000001</x:v>
      </x:c>
      <x:c r="N22" s="33" t="n">
        <x:f>MAX(-K22,0)</x:f>
        <x:v>0</x:v>
      </x:c>
      <x:c r="O22" s="2" t="str">
        <x:f>TEXT(D22,"yyyy-mm")</x:f>
        <x:v>2028-01</x:v>
      </x:c>
    </x:row>
    <x:row r="23" ht="24" customHeight="1">
      <x:c r="A23" s="2"/>
      <x:c r="B23" s="2"/>
      <x:c r="C23" s="2" t="n">
        <x:v>16</x:v>
      </x:c>
      <x:c r="D23" s="34" t="n">
        <x:f>EDATE('现金假设'!$E$7,C23-1)</x:f>
        <x:v>46784</x:v>
      </x:c>
      <x:c r="E23" s="35" t="n">
        <x:f>K22</x:f>
        <x:v>4362500.000000001</x:v>
      </x:c>
      <x:c r="F23" s="35" t="n">
        <x:f>IF(D23='现金假设'!$E$23,'现金假设'!$E$18,0)</x:f>
        <x:v>0</x:v>
      </x:c>
      <x:c r="G23" s="35" t="n">
        <x:f>IF('现金假设'!$J$36="已填",IF(AND(D23&gt;='现金假设'!$G$36,D23&lt;EDATE('现金假设'!$G$36,'现金假设'!$F$36)),'现金假设'!$E$36/'现金假设'!$F$36*'现金假设'!$E$28,0),NA())</x:f>
        <x:v>187500</x:v>
      </x:c>
      <x:c r="H23" s="35" t="n">
        <x:f>IF('现金假设'!$J$37="已填",IF(AND(D23&gt;='现金假设'!$G$37,D23&lt;EDATE('现金假设'!$G$37,'现金假设'!$F$37)),'现金假设'!$E$37/'现金假设'!$F$37*'现金假设'!$E$28,0),NA())</x:f>
        <x:v>75000</x:v>
      </x:c>
      <x:c r="I23" s="35" t="n">
        <x:f>IF('现金假设'!$J$38="已填",IF(AND(D23&gt;='现金假设'!$G$38,D23&lt;EDATE('现金假设'!$G$38,'现金假设'!$F$38)),'现金假设'!$E$38/'现金假设'!$F$38*'现金假设'!$E$28,0),NA())</x:f>
        <x:v>111111.11111111111</x:v>
      </x:c>
      <x:c r="J23" s="33" t="n">
        <x:f>SUM(G23:I23)</x:f>
        <x:v>373611.1111111111</x:v>
      </x:c>
      <x:c r="K23" s="37" t="n">
        <x:f>SUM(E23:F23)-J23</x:f>
        <x:v>3988888.88888889</x:v>
      </x:c>
      <x:c r="L23" s="35" t="n">
        <x:f>'现金假设'!$E$39</x:f>
        <x:v>1000000</x:v>
      </x:c>
      <x:c r="M23" s="33" t="n">
        <x:f>K23-L23</x:f>
        <x:v>2988888.88888889</x:v>
      </x:c>
      <x:c r="N23" s="33" t="n">
        <x:f>MAX(-K23,0)</x:f>
        <x:v>0</x:v>
      </x:c>
      <x:c r="O23" s="2" t="str">
        <x:f>TEXT(D23,"yyyy-mm")</x:f>
        <x:v>2028-02</x:v>
      </x:c>
    </x:row>
    <x:row r="24" ht="24" customHeight="1">
      <x:c r="A24" s="2"/>
      <x:c r="B24" s="2"/>
      <x:c r="C24" s="2" t="n">
        <x:v>17</x:v>
      </x:c>
      <x:c r="D24" s="34" t="n">
        <x:f>EDATE('现金假设'!$E$7,C24-1)</x:f>
        <x:v>46813</x:v>
      </x:c>
      <x:c r="E24" s="35" t="n">
        <x:f>K23</x:f>
        <x:v>3988888.88888889</x:v>
      </x:c>
      <x:c r="F24" s="35" t="n">
        <x:f>IF(D24='现金假设'!$E$23,'现金假设'!$E$18,0)</x:f>
        <x:v>0</x:v>
      </x:c>
      <x:c r="G24" s="35" t="n">
        <x:f>IF('现金假设'!$J$36="已填",IF(AND(D24&gt;='现金假设'!$G$36,D24&lt;EDATE('现金假设'!$G$36,'现金假设'!$F$36)),'现金假设'!$E$36/'现金假设'!$F$36*'现金假设'!$E$28,0),NA())</x:f>
        <x:v>187500</x:v>
      </x:c>
      <x:c r="H24" s="35" t="n">
        <x:f>IF('现金假设'!$J$37="已填",IF(AND(D24&gt;='现金假设'!$G$37,D24&lt;EDATE('现金假设'!$G$37,'现金假设'!$F$37)),'现金假设'!$E$37/'现金假设'!$F$37*'现金假设'!$E$28,0),NA())</x:f>
        <x:v>75000</x:v>
      </x:c>
      <x:c r="I24" s="35" t="n">
        <x:f>IF('现金假设'!$J$38="已填",IF(AND(D24&gt;='现金假设'!$G$38,D24&lt;EDATE('现金假设'!$G$38,'现金假设'!$F$38)),'现金假设'!$E$38/'现金假设'!$F$38*'现金假设'!$E$28,0),NA())</x:f>
        <x:v>111111.11111111111</x:v>
      </x:c>
      <x:c r="J24" s="33" t="n">
        <x:f>SUM(G24:I24)</x:f>
        <x:v>373611.1111111111</x:v>
      </x:c>
      <x:c r="K24" s="37" t="n">
        <x:f>SUM(E24:F24)-J24</x:f>
        <x:v>3615277.777777779</x:v>
      </x:c>
      <x:c r="L24" s="35" t="n">
        <x:f>'现金假设'!$E$39</x:f>
        <x:v>1000000</x:v>
      </x:c>
      <x:c r="M24" s="33" t="n">
        <x:f>K24-L24</x:f>
        <x:v>2615277.777777779</x:v>
      </x:c>
      <x:c r="N24" s="33" t="n">
        <x:f>MAX(-K24,0)</x:f>
        <x:v>0</x:v>
      </x:c>
      <x:c r="O24" s="2" t="str">
        <x:f>TEXT(D24,"yyyy-mm")</x:f>
        <x:v>2028-03</x:v>
      </x:c>
    </x:row>
    <x:row r="25" ht="24" customHeight="1">
      <x:c r="A25" s="2"/>
      <x:c r="B25" s="2"/>
      <x:c r="C25" s="2" t="n">
        <x:v>18</x:v>
      </x:c>
      <x:c r="D25" s="34" t="n">
        <x:f>EDATE('现金假设'!$E$7,C25-1)</x:f>
        <x:v>46844</x:v>
      </x:c>
      <x:c r="E25" s="35" t="n">
        <x:f>K24</x:f>
        <x:v>3615277.777777779</x:v>
      </x:c>
      <x:c r="F25" s="35" t="n">
        <x:f>IF(D25='现金假设'!$E$23,'现金假设'!$E$18,0)</x:f>
        <x:v>0</x:v>
      </x:c>
      <x:c r="G25" s="35" t="n">
        <x:f>IF('现金假设'!$J$36="已填",IF(AND(D25&gt;='现金假设'!$G$36,D25&lt;EDATE('现金假设'!$G$36,'现金假设'!$F$36)),'现金假设'!$E$36/'现金假设'!$F$36*'现金假设'!$E$28,0),NA())</x:f>
        <x:v>187500</x:v>
      </x:c>
      <x:c r="H25" s="35" t="n">
        <x:f>IF('现金假设'!$J$37="已填",IF(AND(D25&gt;='现金假设'!$G$37,D25&lt;EDATE('现金假设'!$G$37,'现金假设'!$F$37)),'现金假设'!$E$37/'现金假设'!$F$37*'现金假设'!$E$28,0),NA())</x:f>
        <x:v>75000</x:v>
      </x:c>
      <x:c r="I25" s="35" t="n">
        <x:f>IF('现金假设'!$J$38="已填",IF(AND(D25&gt;='现金假设'!$G$38,D25&lt;EDATE('现金假设'!$G$38,'现金假设'!$F$38)),'现金假设'!$E$38/'现金假设'!$F$38*'现金假设'!$E$28,0),NA())</x:f>
        <x:v>111111.11111111111</x:v>
      </x:c>
      <x:c r="J25" s="33" t="n">
        <x:f>SUM(G25:I25)</x:f>
        <x:v>373611.1111111111</x:v>
      </x:c>
      <x:c r="K25" s="37" t="n">
        <x:f>SUM(E25:F25)-J25</x:f>
        <x:v>3241666.666666668</x:v>
      </x:c>
      <x:c r="L25" s="35" t="n">
        <x:f>'现金假设'!$E$39</x:f>
        <x:v>1000000</x:v>
      </x:c>
      <x:c r="M25" s="33" t="n">
        <x:f>K25-L25</x:f>
        <x:v>2241666.666666668</x:v>
      </x:c>
      <x:c r="N25" s="33" t="n">
        <x:f>MAX(-K25,0)</x:f>
        <x:v>0</x:v>
      </x:c>
      <x:c r="O25" s="2" t="str">
        <x:f>TEXT(D25,"yyyy-mm")</x:f>
        <x:v>2028-04</x:v>
      </x:c>
    </x:row>
    <x:row r="26" ht="24" customHeight="1">
      <x:c r="A26" s="2"/>
      <x:c r="B26" s="2"/>
      <x:c r="C26" s="2" t="n">
        <x:v>19</x:v>
      </x:c>
      <x:c r="D26" s="34" t="n">
        <x:f>EDATE('现金假设'!$E$7,C26-1)</x:f>
        <x:v>46874</x:v>
      </x:c>
      <x:c r="E26" s="35" t="n">
        <x:f>K25</x:f>
        <x:v>3241666.666666668</x:v>
      </x:c>
      <x:c r="F26" s="35" t="n">
        <x:f>IF(D26='现金假设'!$E$23,'现金假设'!$E$18,0)</x:f>
        <x:v>0</x:v>
      </x:c>
      <x:c r="G26" s="35" t="n">
        <x:f>IF('现金假设'!$J$36="已填",IF(AND(D26&gt;='现金假设'!$G$36,D26&lt;EDATE('现金假设'!$G$36,'现金假设'!$F$36)),'现金假设'!$E$36/'现金假设'!$F$36*'现金假设'!$E$28,0),NA())</x:f>
        <x:v>187500</x:v>
      </x:c>
      <x:c r="H26" s="35" t="n">
        <x:f>IF('现金假设'!$J$37="已填",IF(AND(D26&gt;='现金假设'!$G$37,D26&lt;EDATE('现金假设'!$G$37,'现金假设'!$F$37)),'现金假设'!$E$37/'现金假设'!$F$37*'现金假设'!$E$28,0),NA())</x:f>
        <x:v>75000</x:v>
      </x:c>
      <x:c r="I26" s="35" t="n">
        <x:f>IF('现金假设'!$J$38="已填",IF(AND(D26&gt;='现金假设'!$G$38,D26&lt;EDATE('现金假设'!$G$38,'现金假设'!$F$38)),'现金假设'!$E$38/'现金假设'!$F$38*'现金假设'!$E$28,0),NA())</x:f>
        <x:v>111111.11111111111</x:v>
      </x:c>
      <x:c r="J26" s="33" t="n">
        <x:f>SUM(G26:I26)</x:f>
        <x:v>373611.1111111111</x:v>
      </x:c>
      <x:c r="K26" s="37" t="n">
        <x:f>SUM(E26:F26)-J26</x:f>
        <x:v>2868055.555555557</x:v>
      </x:c>
      <x:c r="L26" s="35" t="n">
        <x:f>'现金假设'!$E$39</x:f>
        <x:v>1000000</x:v>
      </x:c>
      <x:c r="M26" s="33" t="n">
        <x:f>K26-L26</x:f>
        <x:v>1868055.555555557</x:v>
      </x:c>
      <x:c r="N26" s="33" t="n">
        <x:f>MAX(-K26,0)</x:f>
        <x:v>0</x:v>
      </x:c>
      <x:c r="O26" s="2" t="str">
        <x:f>TEXT(D26,"yyyy-mm")</x:f>
        <x:v>2028-05</x:v>
      </x:c>
    </x:row>
    <x:row r="27" ht="24" customHeight="1">
      <x:c r="A27" s="2"/>
      <x:c r="B27" s="2"/>
      <x:c r="C27" s="2" t="n">
        <x:v>20</x:v>
      </x:c>
      <x:c r="D27" s="34" t="n">
        <x:f>EDATE('现金假设'!$E$7,C27-1)</x:f>
        <x:v>46905</x:v>
      </x:c>
      <x:c r="E27" s="35" t="n">
        <x:f>K26</x:f>
        <x:v>2868055.555555557</x:v>
      </x:c>
      <x:c r="F27" s="35" t="n">
        <x:f>IF(D27='现金假设'!$E$23,'现金假设'!$E$18,0)</x:f>
        <x:v>0</x:v>
      </x:c>
      <x:c r="G27" s="35" t="n">
        <x:f>IF('现金假设'!$J$36="已填",IF(AND(D27&gt;='现金假设'!$G$36,D27&lt;EDATE('现金假设'!$G$36,'现金假设'!$F$36)),'现金假设'!$E$36/'现金假设'!$F$36*'现金假设'!$E$28,0),NA())</x:f>
        <x:v>187500</x:v>
      </x:c>
      <x:c r="H27" s="35" t="n">
        <x:f>IF('现金假设'!$J$37="已填",IF(AND(D27&gt;='现金假设'!$G$37,D27&lt;EDATE('现金假设'!$G$37,'现金假设'!$F$37)),'现金假设'!$E$37/'现金假设'!$F$37*'现金假设'!$E$28,0),NA())</x:f>
        <x:v>75000</x:v>
      </x:c>
      <x:c r="I27" s="35" t="n">
        <x:f>IF('现金假设'!$J$38="已填",IF(AND(D27&gt;='现金假设'!$G$38,D27&lt;EDATE('现金假设'!$G$38,'现金假设'!$F$38)),'现金假设'!$E$38/'现金假设'!$F$38*'现金假设'!$E$28,0),NA())</x:f>
        <x:v>111111.11111111111</x:v>
      </x:c>
      <x:c r="J27" s="33" t="n">
        <x:f>SUM(G27:I27)</x:f>
        <x:v>373611.1111111111</x:v>
      </x:c>
      <x:c r="K27" s="37" t="n">
        <x:f>SUM(E27:F27)-J27</x:f>
        <x:v>2494444.444444446</x:v>
      </x:c>
      <x:c r="L27" s="35" t="n">
        <x:f>'现金假设'!$E$39</x:f>
        <x:v>1000000</x:v>
      </x:c>
      <x:c r="M27" s="33" t="n">
        <x:f>K27-L27</x:f>
        <x:v>1494444.444444446</x:v>
      </x:c>
      <x:c r="N27" s="33" t="n">
        <x:f>MAX(-K27,0)</x:f>
        <x:v>0</x:v>
      </x:c>
      <x:c r="O27" s="2" t="str">
        <x:f>TEXT(D27,"yyyy-mm")</x:f>
        <x:v>2028-06</x:v>
      </x:c>
    </x:row>
    <x:row r="28" ht="24" customHeight="1">
      <x:c r="A28" s="2"/>
      <x:c r="B28" s="2"/>
      <x:c r="C28" s="2" t="n">
        <x:v>21</x:v>
      </x:c>
      <x:c r="D28" s="34" t="n">
        <x:f>EDATE('现金假设'!$E$7,C28-1)</x:f>
        <x:v>46935</x:v>
      </x:c>
      <x:c r="E28" s="35" t="n">
        <x:f>K27</x:f>
        <x:v>2494444.444444446</x:v>
      </x:c>
      <x:c r="F28" s="35" t="n">
        <x:f>IF(D28='现金假设'!$E$23,'现金假设'!$E$18,0)</x:f>
        <x:v>0</x:v>
      </x:c>
      <x:c r="G28" s="35" t="n">
        <x:f>IF('现金假设'!$J$36="已填",IF(AND(D28&gt;='现金假设'!$G$36,D28&lt;EDATE('现金假设'!$G$36,'现金假设'!$F$36)),'现金假设'!$E$36/'现金假设'!$F$36*'现金假设'!$E$28,0),NA())</x:f>
        <x:v>187500</x:v>
      </x:c>
      <x:c r="H28" s="35" t="n">
        <x:f>IF('现金假设'!$J$37="已填",IF(AND(D28&gt;='现金假设'!$G$37,D28&lt;EDATE('现金假设'!$G$37,'现金假设'!$F$37)),'现金假设'!$E$37/'现金假设'!$F$37*'现金假设'!$E$28,0),NA())</x:f>
        <x:v>75000</x:v>
      </x:c>
      <x:c r="I28" s="35" t="n">
        <x:f>IF('现金假设'!$J$38="已填",IF(AND(D28&gt;='现金假设'!$G$38,D28&lt;EDATE('现金假设'!$G$38,'现金假设'!$F$38)),'现金假设'!$E$38/'现金假设'!$F$38*'现金假设'!$E$28,0),NA())</x:f>
        <x:v>111111.11111111111</x:v>
      </x:c>
      <x:c r="J28" s="33" t="n">
        <x:f>SUM(G28:I28)</x:f>
        <x:v>373611.1111111111</x:v>
      </x:c>
      <x:c r="K28" s="37" t="n">
        <x:f>SUM(E28:F28)-J28</x:f>
        <x:v>2120833.333333335</x:v>
      </x:c>
      <x:c r="L28" s="35" t="n">
        <x:f>'现金假设'!$E$39</x:f>
        <x:v>1000000</x:v>
      </x:c>
      <x:c r="M28" s="33" t="n">
        <x:f>K28-L28</x:f>
        <x:v>1120833.333333335</x:v>
      </x:c>
      <x:c r="N28" s="33" t="n">
        <x:f>MAX(-K28,0)</x:f>
        <x:v>0</x:v>
      </x:c>
      <x:c r="O28" s="2" t="str">
        <x:f>TEXT(D28,"yyyy-mm")</x:f>
        <x:v>2028-07</x:v>
      </x:c>
    </x:row>
    <x:row r="29" ht="24" customHeight="1">
      <x:c r="A29" s="2"/>
      <x:c r="B29" s="2"/>
      <x:c r="C29" s="2" t="n">
        <x:v>22</x:v>
      </x:c>
      <x:c r="D29" s="34" t="n">
        <x:f>EDATE('现金假设'!$E$7,C29-1)</x:f>
        <x:v>46966</x:v>
      </x:c>
      <x:c r="E29" s="35" t="n">
        <x:f>K28</x:f>
        <x:v>2120833.333333335</x:v>
      </x:c>
      <x:c r="F29" s="35" t="n">
        <x:f>IF(D29='现金假设'!$E$23,'现金假设'!$E$18,0)</x:f>
        <x:v>0</x:v>
      </x:c>
      <x:c r="G29" s="35" t="n">
        <x:f>IF('现金假设'!$J$36="已填",IF(AND(D29&gt;='现金假设'!$G$36,D29&lt;EDATE('现金假设'!$G$36,'现金假设'!$F$36)),'现金假设'!$E$36/'现金假设'!$F$36*'现金假设'!$E$28,0),NA())</x:f>
        <x:v>187500</x:v>
      </x:c>
      <x:c r="H29" s="35" t="n">
        <x:f>IF('现金假设'!$J$37="已填",IF(AND(D29&gt;='现金假设'!$G$37,D29&lt;EDATE('现金假设'!$G$37,'现金假设'!$F$37)),'现金假设'!$E$37/'现金假设'!$F$37*'现金假设'!$E$28,0),NA())</x:f>
        <x:v>75000</x:v>
      </x:c>
      <x:c r="I29" s="35" t="n">
        <x:f>IF('现金假设'!$J$38="已填",IF(AND(D29&gt;='现金假设'!$G$38,D29&lt;EDATE('现金假设'!$G$38,'现金假设'!$F$38)),'现金假设'!$E$38/'现金假设'!$F$38*'现金假设'!$E$28,0),NA())</x:f>
        <x:v>111111.11111111111</x:v>
      </x:c>
      <x:c r="J29" s="33" t="n">
        <x:f>SUM(G29:I29)</x:f>
        <x:v>373611.1111111111</x:v>
      </x:c>
      <x:c r="K29" s="37" t="n">
        <x:f>SUM(E29:F29)-J29</x:f>
        <x:v>1747222.2222222239</x:v>
      </x:c>
      <x:c r="L29" s="35" t="n">
        <x:f>'现金假设'!$E$39</x:f>
        <x:v>1000000</x:v>
      </x:c>
      <x:c r="M29" s="33" t="n">
        <x:f>K29-L29</x:f>
        <x:v>747222.2222222239</x:v>
      </x:c>
      <x:c r="N29" s="33" t="n">
        <x:f>MAX(-K29,0)</x:f>
        <x:v>0</x:v>
      </x:c>
      <x:c r="O29" s="2" t="str">
        <x:f>TEXT(D29,"yyyy-mm")</x:f>
        <x:v>2028-08</x:v>
      </x:c>
    </x:row>
    <x:row r="30" ht="24" customHeight="1">
      <x:c r="A30" s="2"/>
      <x:c r="B30" s="2"/>
      <x:c r="C30" s="2" t="n">
        <x:v>23</x:v>
      </x:c>
      <x:c r="D30" s="34" t="n">
        <x:f>EDATE('现金假设'!$E$7,C30-1)</x:f>
        <x:v>46997</x:v>
      </x:c>
      <x:c r="E30" s="35" t="n">
        <x:f>K29</x:f>
        <x:v>1747222.2222222239</x:v>
      </x:c>
      <x:c r="F30" s="35" t="n">
        <x:f>IF(D30='现金假设'!$E$23,'现金假设'!$E$18,0)</x:f>
        <x:v>0</x:v>
      </x:c>
      <x:c r="G30" s="35" t="n">
        <x:f>IF('现金假设'!$J$36="已填",IF(AND(D30&gt;='现金假设'!$G$36,D30&lt;EDATE('现金假设'!$G$36,'现金假设'!$F$36)),'现金假设'!$E$36/'现金假设'!$F$36*'现金假设'!$E$28,0),NA())</x:f>
        <x:v>187500</x:v>
      </x:c>
      <x:c r="H30" s="35" t="n">
        <x:f>IF('现金假设'!$J$37="已填",IF(AND(D30&gt;='现金假设'!$G$37,D30&lt;EDATE('现金假设'!$G$37,'现金假设'!$F$37)),'现金假设'!$E$37/'现金假设'!$F$37*'现金假设'!$E$28,0),NA())</x:f>
        <x:v>75000</x:v>
      </x:c>
      <x:c r="I30" s="35" t="n">
        <x:f>IF('现金假设'!$J$38="已填",IF(AND(D30&gt;='现金假设'!$G$38,D30&lt;EDATE('现金假设'!$G$38,'现金假设'!$F$38)),'现金假设'!$E$38/'现金假设'!$F$38*'现金假设'!$E$28,0),NA())</x:f>
        <x:v>111111.11111111111</x:v>
      </x:c>
      <x:c r="J30" s="33" t="n">
        <x:f>SUM(G30:I30)</x:f>
        <x:v>373611.1111111111</x:v>
      </x:c>
      <x:c r="K30" s="37" t="n">
        <x:f>SUM(E30:F30)-J30</x:f>
        <x:v>1373611.1111111129</x:v>
      </x:c>
      <x:c r="L30" s="35" t="n">
        <x:f>'现金假设'!$E$39</x:f>
        <x:v>1000000</x:v>
      </x:c>
      <x:c r="M30" s="33" t="n">
        <x:f>K30-L30</x:f>
        <x:v>373611.11111111287</x:v>
      </x:c>
      <x:c r="N30" s="33" t="n">
        <x:f>MAX(-K30,0)</x:f>
        <x:v>0</x:v>
      </x:c>
      <x:c r="O30" s="2" t="str">
        <x:f>TEXT(D30,"yyyy-mm")</x:f>
        <x:v>2028-09</x:v>
      </x:c>
    </x:row>
    <x:row r="31" ht="24" customHeight="1">
      <x:c r="A31" s="2"/>
      <x:c r="B31" s="2"/>
      <x:c r="C31" s="2" t="n">
        <x:v>24</x:v>
      </x:c>
      <x:c r="D31" s="34" t="n">
        <x:f>EDATE('现金假设'!$E$7,C31-1)</x:f>
        <x:v>47027</x:v>
      </x:c>
      <x:c r="E31" s="35" t="n">
        <x:f>K30</x:f>
        <x:v>1373611.1111111129</x:v>
      </x:c>
      <x:c r="F31" s="35" t="n">
        <x:f>IF(D31='现金假设'!$E$23,'现金假设'!$E$18,0)</x:f>
        <x:v>0</x:v>
      </x:c>
      <x:c r="G31" s="35" t="n">
        <x:f>IF('现金假设'!$J$36="已填",IF(AND(D31&gt;='现金假设'!$G$36,D31&lt;EDATE('现金假设'!$G$36,'现金假设'!$F$36)),'现金假设'!$E$36/'现金假设'!$F$36*'现金假设'!$E$28,0),NA())</x:f>
        <x:v>187500</x:v>
      </x:c>
      <x:c r="H31" s="35" t="n">
        <x:f>IF('现金假设'!$J$37="已填",IF(AND(D31&gt;='现金假设'!$G$37,D31&lt;EDATE('现金假设'!$G$37,'现金假设'!$F$37)),'现金假设'!$E$37/'现金假设'!$F$37*'现金假设'!$E$28,0),NA())</x:f>
        <x:v>75000</x:v>
      </x:c>
      <x:c r="I31" s="35" t="n">
        <x:f>IF('现金假设'!$J$38="已填",IF(AND(D31&gt;='现金假设'!$G$38,D31&lt;EDATE('现金假设'!$G$38,'现金假设'!$F$38)),'现金假设'!$E$38/'现金假设'!$F$38*'现金假设'!$E$28,0),NA())</x:f>
        <x:v>111111.11111111111</x:v>
      </x:c>
      <x:c r="J31" s="33" t="n">
        <x:f>SUM(G31:I31)</x:f>
        <x:v>373611.1111111111</x:v>
      </x:c>
      <x:c r="K31" s="37" t="n">
        <x:f>SUM(E31:F31)-J31</x:f>
        <x:v>1000000.0000000017</x:v>
      </x:c>
      <x:c r="L31" s="35" t="n">
        <x:f>'现金假设'!$E$39</x:f>
        <x:v>1000000</x:v>
      </x:c>
      <x:c r="M31" s="33" t="n">
        <x:f>K31-L31</x:f>
        <x:v>1.7462298274040222e-9</x:v>
      </x:c>
      <x:c r="N31" s="33" t="n">
        <x:f>MAX(-K31,0)</x:f>
        <x:v>0</x:v>
      </x:c>
      <x:c r="O31" s="2" t="str">
        <x:f>TEXT(D31,"yyyy-mm")</x:f>
        <x:v>2028-10</x:v>
      </x:c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</x:row>
    <x:row r="33" ht="24" customHeight="1">
      <x:c r="A33" s="2"/>
      <x:c r="B33" s="2"/>
      <x:c r="C33" s="18" t="str">
        <x:v>测算逐期结转期末现金。支出不含风险储备；储备作为单独下限显示。</x:v>
      </x:c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</x:row>
    <x:row r="34" ht="24" customHeight="1">
      <x:c r="A34" s="2"/>
      <x:c r="B34" s="2"/>
      <x:c r="C34" s="18" t="str">
        <x:v>变更“现金假设”的情景、起始调整、支出倍数或分配期限后，本表及摘要随之更新。</x:v>
      </x:c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</x:row>
  </x:sheetData>
  <x:conditionalFormatting sqref="K8:K31">
    <x:cfRule type="cellIs" dxfId="3" priority="1" operator="lessThan">
      <x:formula>0</x:formula>
    </x:cfRule>
  </x:conditionalFormatting>
  <x:conditionalFormatting sqref="M8:M31">
    <x:cfRule type="cellIs" dxfId="4" priority="2" operator="lessThan">
      <x:formula>0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B6B9C1"/>
  </x:sheetPr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31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24" customHeight="1">
      <x:c r="A2" s="2"/>
      <x:c r="B2" s="2"/>
      <x:c r="C2" s="3" t="str">
        <x:v>历史长期预测（旧版，仅供对照）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4" customHeight="1">
      <x:c r="A3" s="2"/>
      <x:c r="B3" s="2"/>
      <x:c r="C3" s="6" t="str">
        <x:v>2026基期＋其后7年，单位HKD。未按2026年10月融资或新上市日期重算。</x:v>
      </x:c>
      <x:c r="D3" s="4"/>
      <x:c r="E3" s="4"/>
      <x:c r="F3" s="4"/>
      <x:c r="G3" s="4"/>
      <x:c r="H3" s="4"/>
      <x:c r="I3" s="4"/>
      <x:c r="J3" s="4"/>
      <x:c r="K3" s="4"/>
      <x:c r="L3" s="2"/>
      <x:c r="M3" s="2"/>
      <x:c r="N3" s="2"/>
      <x:c r="O3" s="2"/>
    </x:row>
    <x:row r="4" ht="24" customHeight="1">
      <x:c r="A4" s="2"/>
      <x:c r="B4" s="2"/>
      <x:c r="C4" s="18" t="str">
        <x:v>以下是旧版模型输出，不是经营实绩，也不构成当前预测，不进入本版现金测算。</x:v>
      </x:c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 ht="28" customHeight="1">
      <x:c r="A7" s="2"/>
      <x:c r="B7" s="2"/>
      <x:c r="C7" s="25" t="str">
        <x:v>旧模型指标</x:v>
      </x:c>
      <x:c r="D7" s="25" t="n">
        <x:v>2026</x:v>
      </x:c>
      <x:c r="E7" s="25" t="n">
        <x:v>2027</x:v>
      </x:c>
      <x:c r="F7" s="25" t="n">
        <x:v>2028</x:v>
      </x:c>
      <x:c r="G7" s="25" t="n">
        <x:v>2029</x:v>
      </x:c>
      <x:c r="H7" s="25" t="n">
        <x:v>2030</x:v>
      </x:c>
      <x:c r="I7" s="25" t="n">
        <x:v>2031</x:v>
      </x:c>
      <x:c r="J7" s="25" t="n">
        <x:v>2032</x:v>
      </x:c>
      <x:c r="K7" s="25" t="n">
        <x:v>2033</x:v>
      </x:c>
      <x:c r="L7" s="2"/>
      <x:c r="M7" s="2"/>
      <x:c r="N7" s="2"/>
      <x:c r="O7" s="2"/>
    </x:row>
    <x:row r="8" ht="24" customHeight="1">
      <x:c r="A8" s="2"/>
      <x:c r="B8" s="2"/>
      <x:c r="C8" s="2" t="str">
        <x:v>注册用户(千人,年末)</x:v>
      </x:c>
      <x:c r="D8" s="33" t="n">
        <x:v>0</x:v>
      </x:c>
      <x:c r="E8" s="33" t="n">
        <x:v>8504.2735042735</x:v>
      </x:c>
      <x:c r="F8" s="33" t="n">
        <x:v>16070.8333333333</x:v>
      </x:c>
      <x:c r="G8" s="33" t="n">
        <x:v>25630.9309309309</x:v>
      </x:c>
      <x:c r="H8" s="33" t="n">
        <x:v>34525.9136212625</x:v>
      </x:c>
      <x:c r="I8" s="33" t="n">
        <x:v>42184.8739495798</x:v>
      </x:c>
      <x:c r="J8" s="33" t="n">
        <x:v>47755.2977712824</x:v>
      </x:c>
      <x:c r="K8" s="33" t="n">
        <x:v>51699.7708174179</x:v>
      </x:c>
      <x:c r="L8" s="2"/>
      <x:c r="M8" s="2"/>
      <x:c r="N8" s="2"/>
      <x:c r="O8" s="2"/>
    </x:row>
    <x:row r="9" ht="24" customHeight="1">
      <x:c r="A9" s="2"/>
      <x:c r="B9" s="2"/>
      <x:c r="C9" s="2" t="str">
        <x:v>Aiviliz DAU(千人,均)</x:v>
      </x:c>
      <x:c r="D9" s="33" t="n">
        <x:v>0</x:v>
      </x:c>
      <x:c r="E9" s="33" t="n">
        <x:v>739.6875</x:v>
      </x:c>
      <x:c r="F9" s="33" t="n">
        <x:v>1150.625</x:v>
      </x:c>
      <x:c r="G9" s="33" t="n">
        <x:v>1528.6875</x:v>
      </x:c>
      <x:c r="H9" s="33" t="n">
        <x:v>1808.125</x:v>
      </x:c>
      <x:c r="I9" s="33" t="n">
        <x:v>2005.375</x:v>
      </x:c>
      <x:c r="J9" s="33" t="n">
        <x:v>2153.3125</x:v>
      </x:c>
      <x:c r="K9" s="33" t="n">
        <x:v>2301.25</x:v>
      </x:c>
      <x:c r="L9" s="2"/>
      <x:c r="M9" s="2"/>
      <x:c r="N9" s="2"/>
      <x:c r="O9" s="2"/>
    </x:row>
    <x:row r="10" ht="24" customHeight="1">
      <x:c r="A10" s="2"/>
      <x:c r="B10" s="2"/>
      <x:c r="C10" s="2" t="str">
        <x:v>年末人数</x:v>
      </x:c>
      <x:c r="D10" s="33" t="n">
        <x:v>48</x:v>
      </x:c>
      <x:c r="E10" s="33" t="n">
        <x:v>63</x:v>
      </x:c>
      <x:c r="F10" s="33" t="n">
        <x:v>81</x:v>
      </x:c>
      <x:c r="G10" s="33" t="n">
        <x:v>104.25</x:v>
      </x:c>
      <x:c r="H10" s="33" t="n">
        <x:v>138</x:v>
      </x:c>
      <x:c r="I10" s="33" t="n">
        <x:v>180</x:v>
      </x:c>
      <x:c r="J10" s="33" t="n">
        <x:v>236.25</x:v>
      </x:c>
      <x:c r="K10" s="33" t="n">
        <x:v>312</x:v>
      </x:c>
      <x:c r="L10" s="2"/>
      <x:c r="M10" s="2"/>
      <x:c r="N10" s="2"/>
      <x:c r="O10" s="2"/>
    </x:row>
    <x:row r="11" ht="24" customHeight="1">
      <x:c r="A11" s="2"/>
      <x:c r="B11" s="2"/>
      <x:c r="C11" s="2" t="str">
        <x:v>收入 Revenue</x:v>
      </x:c>
      <x:c r="D11" s="33" t="n">
        <x:v>0</x:v>
      </x:c>
      <x:c r="E11" s="33" t="n">
        <x:v>142125094.8</x:v>
      </x:c>
      <x:c r="F11" s="33" t="n">
        <x:v>355954601.512</x:v>
      </x:c>
      <x:c r="G11" s="33" t="n">
        <x:v>740888422.9356</x:v>
      </x:c>
      <x:c r="H11" s="33" t="n">
        <x:v>1314955315.29792</x:v>
      </x:c>
      <x:c r="I11" s="33" t="n">
        <x:v>1991311808.42368</x:v>
      </x:c>
      <x:c r="J11" s="33" t="n">
        <x:v>2721939052.22016</x:v>
      </x:c>
      <x:c r="K11" s="33" t="n">
        <x:v>3584274059.5808</x:v>
      </x:c>
      <x:c r="L11" s="2"/>
      <x:c r="M11" s="2"/>
      <x:c r="N11" s="2"/>
      <x:c r="O11" s="2"/>
    </x:row>
    <x:row r="12" ht="24" customHeight="1">
      <x:c r="A12" s="2"/>
      <x:c r="B12" s="2"/>
      <x:c r="C12" s="2" t="str">
        <x:v>毛利 Gross Profit</x:v>
      </x:c>
      <x:c r="D12" s="33" t="n">
        <x:v>-720000</x:v>
      </x:c>
      <x:c r="E12" s="33" t="n">
        <x:v>45149236.14600001</x:v>
      </x:c>
      <x:c r="F12" s="33" t="n">
        <x:v>156652106.86524</x:v>
      </x:c>
      <x:c r="G12" s="33" t="n">
        <x:v>348962429.8901399</x:v>
      </x:c>
      <x:c r="H12" s="33" t="n">
        <x:v>687997964.8961376</x:v>
      </x:c>
      <x:c r="I12" s="33" t="n">
        <x:v>1102562868.394829</x:v>
      </x:c>
      <x:c r="J12" s="33" t="n">
        <x:v>1591692046.396406</x:v>
      </x:c>
      <x:c r="K12" s="33" t="n">
        <x:v>2186212389.571136</x:v>
      </x:c>
      <x:c r="L12" s="2"/>
      <x:c r="M12" s="2"/>
      <x:c r="N12" s="2"/>
      <x:c r="O12" s="2"/>
    </x:row>
    <x:row r="13" ht="24" customHeight="1">
      <x:c r="A13" s="2"/>
      <x:c r="B13" s="2"/>
      <x:c r="C13" s="2" t="str">
        <x:v>EBITDA</x:v>
      </x:c>
      <x:c r="D13" s="33" t="n">
        <x:v>-26271200</x:v>
      </x:c>
      <x:c r="E13" s="33" t="n">
        <x:v>-19440575.21825</x:v>
      </x:c>
      <x:c r="F13" s="33" t="n">
        <x:v>16422477.63328999</x:v>
      </x:c>
      <x:c r="G13" s="33" t="n">
        <x:v>85408581.56679896</x:v>
      </x:c>
      <x:c r="H13" s="33" t="n">
        <x:v>280153899.403743</x:v>
      </x:c>
      <x:c r="I13" s="33" t="n">
        <x:v>517500859.9736876</x:v>
      </x:c>
      <x:c r="J13" s="33" t="n">
        <x:v>818789102.8806205</x:v>
      </x:c>
      <x:c r="K13" s="33" t="n">
        <x:v>1163785021.681721</x:v>
      </x:c>
      <x:c r="L13" s="2"/>
      <x:c r="M13" s="2"/>
      <x:c r="N13" s="2"/>
      <x:c r="O13" s="2"/>
    </x:row>
    <x:row r="14" ht="24" customHeight="1">
      <x:c r="A14" s="2"/>
      <x:c r="B14" s="2"/>
      <x:c r="C14" s="2" t="str">
        <x:v>净利润 Net Profit</x:v>
      </x:c>
      <x:c r="D14" s="33" t="n">
        <x:v>-23779794.6240198</x:v>
      </x:c>
      <x:c r="E14" s="33" t="n">
        <x:v>-18383752.97060845</x:v>
      </x:c>
      <x:c r="F14" s="33" t="n">
        <x:v>15428170.83704796</x:v>
      </x:c>
      <x:c r="G14" s="33" t="n">
        <x:v>77449014.3015818</x:v>
      </x:c>
      <x:c r="H14" s="33" t="n">
        <x:v>245858595.6247121</x:v>
      </x:c>
      <x:c r="I14" s="33" t="n">
        <x:v>450327446.7952766</x:v>
      </x:c>
      <x:c r="J14" s="33" t="n">
        <x:v>718242826.1824415</x:v>
      </x:c>
      <x:c r="K14" s="33" t="n">
        <x:v>1032170660.173946</x:v>
      </x:c>
      <x:c r="L14" s="2"/>
      <x:c r="M14" s="2"/>
      <x:c r="N14" s="2"/>
      <x:c r="O14" s="2"/>
    </x:row>
    <x:row r="15" ht="24" customHeight="1">
      <x:c r="A15" s="2"/>
      <x:c r="B15" s="2"/>
      <x:c r="C15" s="40" t="str">
        <x:v>毛利率</x:v>
      </x:c>
      <x:c r="D15" s="41" t="n">
        <x:v>0</x:v>
      </x:c>
      <x:c r="E15" s="41" t="n">
        <x:v>0.31767251384799083</x:v>
      </x:c>
      <x:c r="F15" s="41" t="n">
        <x:v>0.4400901300329416</x:v>
      </x:c>
      <x:c r="G15" s="41" t="n">
        <x:v>0.4710053755563577</x:v>
      </x:c>
      <x:c r="H15" s="41" t="n">
        <x:v>0.523210147821839</x:v>
      </x:c>
      <x:c r="I15" s="41" t="n">
        <x:v>0.5536867022687002</x:v>
      </x:c>
      <x:c r="J15" s="41" t="n">
        <x:v>0.5847640288264854</x:v>
      </x:c>
      <x:c r="K15" s="41" t="n">
        <x:v>0.6099456551675697</x:v>
      </x:c>
      <x:c r="L15" s="2"/>
      <x:c r="M15" s="2"/>
      <x:c r="N15" s="2"/>
      <x:c r="O15" s="2"/>
    </x:row>
    <x:row r="16" ht="24" customHeight="1">
      <x:c r="A16" s="2"/>
      <x:c r="B16" s="2"/>
      <x:c r="C16" s="40" t="str">
        <x:v>EBITDA率</x:v>
      </x:c>
      <x:c r="D16" s="41" t="n">
        <x:v>0</x:v>
      </x:c>
      <x:c r="E16" s="41" t="n">
        <x:v>-0.1367849586704374</x:v>
      </x:c>
      <x:c r="F16" s="41" t="n">
        <x:v>0.04613643864563541</x:v>
      </x:c>
      <x:c r="G16" s="41" t="n">
        <x:v>0.11527860190929572</x:v>
      </x:c>
      <x:c r="H16" s="41" t="n">
        <x:v>0.21305203009143361</x:v>
      </x:c>
      <x:c r="I16" s="41" t="n">
        <x:v>0.25987937086725793</x:v>
      </x:c>
      <x:c r="J16" s="41" t="n">
        <x:v>0.3008109612934838</x:v>
      </x:c>
      <x:c r="K16" s="41" t="n">
        <x:v>0.32469197453551635</x:v>
      </x:c>
      <x:c r="L16" s="2"/>
      <x:c r="M16" s="2"/>
      <x:c r="N16" s="2"/>
      <x:c r="O16" s="2"/>
    </x:row>
    <x:row r="17" ht="24" customHeight="1">
      <x:c r="A17" s="2"/>
      <x:c r="B17" s="2"/>
      <x:c r="C17" s="40" t="str">
        <x:v>净利率</x:v>
      </x:c>
      <x:c r="D17" s="41" t="n">
        <x:v>0</x:v>
      </x:c>
      <x:c r="E17" s="41" t="n">
        <x:v>-0.12934909909103856</x:v>
      </x:c>
      <x:c r="F17" s="41" t="n">
        <x:v>0.04334308580789015</x:v>
      </x:c>
      <x:c r="G17" s="41" t="n">
        <x:v>0.10453532799811864</x:v>
      </x:c>
      <x:c r="H17" s="41" t="n">
        <x:v>0.18697106492094728</x:v>
      </x:c>
      <x:c r="I17" s="41" t="n">
        <x:v>0.2261461238216406</x:v>
      </x:c>
      <x:c r="J17" s="41" t="n">
        <x:v>0.2638717518662308</x:v>
      </x:c>
      <x:c r="K17" s="41" t="n">
        <x:v>0.2879720253017326</x:v>
      </x:c>
      <x:c r="L17" s="2"/>
      <x:c r="M17" s="2"/>
      <x:c r="N17" s="2"/>
      <x:c r="O17" s="2"/>
    </x:row>
    <x:row r="18" ht="28" customHeight="1">
      <x:c r="A18" s="2"/>
      <x:c r="B18" s="2"/>
      <x:c r="C18" s="20" t="str">
        <x:v>现金（年末）</x:v>
      </x:c>
      <x:c r="D18" s="44" t="n">
        <x:v>154768126.3759802</x:v>
      </x:c>
      <x:c r="E18" s="44" t="n">
        <x:v>408717706.7387051</x:v>
      </x:c>
      <x:c r="F18" s="44" t="n">
        <x:v>734406021.9550936</x:v>
      </x:c>
      <x:c r="G18" s="44" t="n">
        <x:v>808204426.195543</x:v>
      </x:c>
      <x:c r="H18" s="44" t="n">
        <x:v>1049717015.536894</x:v>
      </x:c>
      <x:c r="I18" s="44" t="n">
        <x:v>1494291983.557528</x:v>
      </x:c>
      <x:c r="J18" s="44" t="n">
        <x:v>2206100632.099089</x:v>
      </x:c>
      <x:c r="K18" s="44" t="n">
        <x:v>3229981224.983942</x:v>
      </x:c>
      <x:c r="L18" s="2"/>
      <x:c r="M18" s="2"/>
      <x:c r="N18" s="2"/>
      <x:c r="O18" s="2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</x:row>
    <x:row r="21" ht="24" customHeight="1">
      <x:c r="A21" s="2"/>
      <x:c r="B21" s="2"/>
      <x:c r="C21" s="18" t="str">
        <x:v>旧模型原定2027年2–3月海外上线，并假设产品2、产品3和引擎业务后续商业化。</x:v>
      </x:c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</x:row>
    <x:row r="22" ht="24" customHeight="1">
      <x:c r="A22" s="2"/>
      <x:c r="B22" s="2"/>
      <x:c r="C22" s="18" t="str">
        <x:v>旧版三情景说明：悲观25%、中性50%、乐观25%，但文件内未提供对应可编辑驱动。</x:v>
      </x:c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</x:row>
    <x:row r="23" ht="24" customHeight="1">
      <x:c r="A23" s="2"/>
      <x:c r="B23" s="2"/>
      <x:c r="C23" s="18" t="str">
        <x:v>旧现金基数已包含Pre-A $4.5M，并另假设$12M、$35M、$40M后续股权融资。</x:v>
      </x:c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</x:row>
    <x:row r="24" ht="24" customHeight="1">
      <x:c r="A24" s="2"/>
      <x:c r="B24" s="2"/>
      <x:c r="C24" s="18" t="str">
        <x:v>旧现金还通过损益包含RAISe+ HK$60M；上述资金假设均未沿用到10月现金测算。</x:v>
      </x:c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</x:row>
    <x:row r="26" ht="24" customHeight="1">
      <x:c r="A26" s="2"/>
      <x:c r="B26" s="2"/>
      <x:c r="C26" s="18" t="str">
        <x:v>原文件共10页、642条公式，但收入、成本、融资与现金滚动的核心明细为静态数值。</x:v>
      </x:c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</x:row>
    <x:row r="27" ht="24" customHeight="1">
      <x:c r="A27" s="2"/>
      <x:c r="B27" s="2"/>
      <x:c r="C27" s="18" t="str">
        <x:v>仅修改几个参数无法可靠重算。新经营预测需要重新核准用户、付费、人员、成本与现金假设。</x:v>
      </x:c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</x:row>
    <x:row r="29" ht="24" customHeight="1">
      <x:c r="A29" s="2"/>
      <x:c r="B29" s="2"/>
      <x:c r="C29" s="18" t="str">
        <x:v>历史来源：Bauhinia_7yr_Financial_Forecast.xlsx，原版下载文件，无内置版本日期。</x:v>
      </x:c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</x:row>
    <x:row r="30" ht="24" customHeight="1">
      <x:c r="A30" s="2"/>
      <x:c r="B30" s="2"/>
      <x:c r="C30" s="18" t="str">
        <x:v>https://bauhinia-prea-supplement.pages.dev/assets/Bauhinia_7yr_Financial_Forecast.xlsx</x:v>
      </x:c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</x:row>
  </x:sheetData>
  <x:pageMargins left="0.7" right="0.7" top="0.75" bottom="0.75" header="0.3" footer="0.3"/>
</x:worksheet>
</file>